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sharedStrings.xml" ContentType="application/vnd.openxmlformats-officedocument.spreadsheetml.sharedStrings+xml"/>
  <Override PartName="/xl/media/image229.jpeg" ContentType="image/jpeg"/>
  <Override PartName="/xl/media/image236.png" ContentType="image/png"/>
  <Override PartName="/xl/media/image230.emf" ContentType="image/x-emf"/>
  <Override PartName="/xl/media/image231.png" ContentType="image/png"/>
  <Override PartName="/xl/media/image232.jpeg" ContentType="image/jpeg"/>
  <Override PartName="/xl/media/image234.png" ContentType="image/png"/>
  <Override PartName="/xl/media/image233.emf" ContentType="image/x-emf"/>
  <Override PartName="/xl/media/image235.png" ContentType="image/png"/>
  <Override PartName="/xl/media/image237.emf" ContentType="image/x-emf"/>
  <Override PartName="/xl/media/image238.png" ContentType="image/png"/>
  <Override PartName="/xl/media/image239.png" ContentType="image/p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Example" sheetId="1" state="visible" r:id="rId2"/>
    <sheet name="Plate HX Calculator" sheetId="2" state="visible" r:id="rId3"/>
    <sheet name="Heat exchanger geometry" sheetId="3" state="visible" r:id="rId4"/>
    <sheet name="Heat exchanger examples" sheetId="4" state="visible" r:id="rId5"/>
    <sheet name="Coefficients" sheetId="5" state="visible" r:id="rId6"/>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<sst xmlns="http://schemas.openxmlformats.org/spreadsheetml/2006/main" count="540" uniqueCount="232">
  <si>
    <t xml:space="preserve">FOR EDUCATIONAL PURPOSE ONLY – DO NOT USE THIS METHOD FOR DETAIL DESIGN – ALWAYS CONSULT A REPUTABLE SUPPLIER FOR DETAIL DESIGN</t>
  </si>
  <si>
    <t xml:space="preserve">Plate Heat Exchanger one pass Design Calculator (estimation)</t>
  </si>
  <si>
    <r>
      <rPr>
        <b val="true"/>
        <sz val="14"/>
        <rFont val="Arial"/>
        <family val="2"/>
        <charset val="1"/>
      </rPr>
      <t xml:space="preserve">This sheet is the re-calculation of an example from
</t>
    </r>
    <r>
      <rPr>
        <b val="true"/>
        <i val="true"/>
        <sz val="14"/>
        <rFont val="Arial"/>
        <family val="2"/>
        <charset val="1"/>
      </rPr>
      <t xml:space="preserve">Heat Exchangers, Selection, Rating and Thermal Design 4</t>
    </r>
    <r>
      <rPr>
        <b val="true"/>
        <i val="true"/>
        <vertAlign val="superscript"/>
        <sz val="14"/>
        <rFont val="Arial"/>
        <family val="2"/>
        <charset val="1"/>
      </rPr>
      <t xml:space="preserve">th</t>
    </r>
    <r>
      <rPr>
        <b val="true"/>
        <i val="true"/>
        <sz val="14"/>
        <rFont val="Arial"/>
        <family val="2"/>
        <charset val="1"/>
      </rPr>
      <t xml:space="preserve"> edition, Kakac et al, CRC Press, 2020, page 411
It is provided to allow checking the calculations, please check the reference</t>
    </r>
  </si>
  <si>
    <t xml:space="preserve">To modify</t>
  </si>
  <si>
    <t xml:space="preserve">Step 1 : Gather the data required for the design</t>
  </si>
  <si>
    <t xml:space="preserve">Readme</t>
  </si>
  <si>
    <t xml:space="preserve">Calculated</t>
  </si>
  <si>
    <t xml:space="preserve">Process data</t>
  </si>
  <si>
    <t xml:space="preserve">The tool is considering a plate heat exchanger geometry in 1 flow pattern, counter current</t>
  </si>
  <si>
    <t xml:space="preserve">If one of the temperature of the fluids at inlet and outlet, enter NA for the temperature</t>
  </si>
  <si>
    <t xml:space="preserve">Hot Fluid to cool</t>
  </si>
  <si>
    <t xml:space="preserve">Water</t>
  </si>
  <si>
    <t xml:space="preserve">Hot fluid flowrate</t>
  </si>
  <si>
    <t xml:space="preserve">m_hot</t>
  </si>
  <si>
    <t xml:space="preserve">kg/h</t>
  </si>
  <si>
    <t xml:space="preserve">Hot fluid density</t>
  </si>
  <si>
    <t xml:space="preserve">rho_hot</t>
  </si>
  <si>
    <t xml:space="preserve">kg/m3</t>
  </si>
  <si>
    <t xml:space="preserve">Thot inlet</t>
  </si>
  <si>
    <t xml:space="preserve">Thot outlet</t>
  </si>
  <si>
    <t xml:space="preserve">Hot fluid viscosity</t>
  </si>
  <si>
    <t xml:space="preserve">mu_hot</t>
  </si>
  <si>
    <t xml:space="preserve">Pa.s</t>
  </si>
  <si>
    <t xml:space="preserve">Hot fluid thermal conductivity</t>
  </si>
  <si>
    <t xml:space="preserve">lambda_hot</t>
  </si>
  <si>
    <t xml:space="preserve">W.mK</t>
  </si>
  <si>
    <t xml:space="preserve">Specific heat hot fluid</t>
  </si>
  <si>
    <t xml:space="preserve">Cp_hot</t>
  </si>
  <si>
    <t xml:space="preserve">kJ/kg</t>
  </si>
  <si>
    <t xml:space="preserve">Hot fluid inlet temperature</t>
  </si>
  <si>
    <t xml:space="preserve">t_hot_inlet</t>
  </si>
  <si>
    <t xml:space="preserve">c</t>
  </si>
  <si>
    <t xml:space="preserve">Hot fluid outlet temperature</t>
  </si>
  <si>
    <t xml:space="preserve">t_hot_outlet</t>
  </si>
  <si>
    <t xml:space="preserve">Cold Fluid</t>
  </si>
  <si>
    <t xml:space="preserve">Cold fluid flowrate</t>
  </si>
  <si>
    <t xml:space="preserve">m_cold</t>
  </si>
  <si>
    <t xml:space="preserve">Tcold outlet</t>
  </si>
  <si>
    <t xml:space="preserve">Tcold inlet</t>
  </si>
  <si>
    <t xml:space="preserve">Cold fluid density</t>
  </si>
  <si>
    <t xml:space="preserve">rho_cold</t>
  </si>
  <si>
    <t xml:space="preserve">Cold fluid viscosity</t>
  </si>
  <si>
    <t xml:space="preserve">mu_cold</t>
  </si>
  <si>
    <t xml:space="preserve">Cold fluid thermal conductivity</t>
  </si>
  <si>
    <t xml:space="preserve">lambda_cold</t>
  </si>
  <si>
    <t xml:space="preserve">W/mK</t>
  </si>
  <si>
    <t xml:space="preserve">Specific heat cold fluid</t>
  </si>
  <si>
    <t xml:space="preserve">Cp_cold</t>
  </si>
  <si>
    <t xml:space="preserve">Cold fluid inlet temperature</t>
  </si>
  <si>
    <t xml:space="preserve">t_cold_inlet</t>
  </si>
  <si>
    <t xml:space="preserve">Cold fluid outlet temperature</t>
  </si>
  <si>
    <t xml:space="preserve">t_cold_outlet</t>
  </si>
  <si>
    <t xml:space="preserve">NA</t>
  </si>
  <si>
    <t xml:space="preserve">Heat exchanger data 1 pass</t>
  </si>
  <si>
    <t xml:space="preserve">Type of heat exchanger</t>
  </si>
  <si>
    <t xml:space="preserve">Plate HX</t>
  </si>
  <si>
    <t xml:space="preserve">Number of passes</t>
  </si>
  <si>
    <t xml:space="preserve">Np</t>
  </si>
  <si>
    <t xml:space="preserve">Plate material</t>
  </si>
  <si>
    <t xml:space="preserve">Stainless Steel</t>
  </si>
  <si>
    <t xml:space="preserve">Plate thickness</t>
  </si>
  <si>
    <t xml:space="preserve">e</t>
  </si>
  <si>
    <t xml:space="preserve">mm</t>
  </si>
  <si>
    <t xml:space="preserve">Corrugation angle of the plates</t>
  </si>
  <si>
    <t xml:space="preserve">alpha</t>
  </si>
  <si>
    <t xml:space="preserve">deg</t>
  </si>
  <si>
    <t xml:space="preserve">Thermal conductivity material of the plate</t>
  </si>
  <si>
    <t xml:space="preserve">lambda</t>
  </si>
  <si>
    <t xml:space="preserve">W/m.K</t>
  </si>
  <si>
    <t xml:space="preserve">Effective surface area of a single plate
(from manufacturer data)</t>
  </si>
  <si>
    <t xml:space="preserve">Se</t>
  </si>
  <si>
    <t xml:space="preserve">m2</t>
  </si>
  <si>
    <t xml:space="preserve">Projected area of a single plate</t>
  </si>
  <si>
    <t xml:space="preserve">Sp</t>
  </si>
  <si>
    <t xml:space="preserve">Surface enlargement factor</t>
  </si>
  <si>
    <t xml:space="preserve">Φ</t>
  </si>
  <si>
    <t xml:space="preserve">'-</t>
  </si>
  <si>
    <t xml:space="preserve">Verification surface enlargement factor ok</t>
  </si>
  <si>
    <t xml:space="preserve">Height of a plate</t>
  </si>
  <si>
    <t xml:space="preserve">Lv</t>
  </si>
  <si>
    <t xml:space="preserve">m</t>
  </si>
  <si>
    <t xml:space="preserve">Width of a plate</t>
  </si>
  <si>
    <t xml:space="preserve">Lw</t>
  </si>
  <si>
    <t xml:space="preserve">Gap in between each plate</t>
  </si>
  <si>
    <t xml:space="preserve">b</t>
  </si>
  <si>
    <t xml:space="preserve">Channel passing area</t>
  </si>
  <si>
    <t xml:space="preserve">Port diameter hot fluid</t>
  </si>
  <si>
    <t xml:space="preserve">Dp_hot</t>
  </si>
  <si>
    <t xml:space="preserve">Port diameter cold fluid</t>
  </si>
  <si>
    <t xml:space="preserve">Dp_cold</t>
  </si>
  <si>
    <t xml:space="preserve">Fouling resistance hot side</t>
  </si>
  <si>
    <t xml:space="preserve">Rfhot</t>
  </si>
  <si>
    <t xml:space="preserve">m2.k/W</t>
  </si>
  <si>
    <t xml:space="preserve">Fouling resistance cold side</t>
  </si>
  <si>
    <t xml:space="preserve">Rfcold</t>
  </si>
  <si>
    <t xml:space="preserve">Note : effective and projected surface area are different. The effective surface area of a plate is higher because of the corrugations. When designing a new heat exchanger, or checking an existing exchanger, be careful to understand if the supplier is referring to effective or projected area in its documentation. If you don’t have the effective area note that the ratio Se/Sp = phi (enlargement factor) is often in between 1.15 and 1.25</t>
  </si>
  <si>
    <t xml:space="preserve">If you check an existing heat exchanger</t>
  </si>
  <si>
    <t xml:space="preserve">If you design a new heat exchanger</t>
  </si>
  <si>
    <t xml:space="preserve">ASSUME an overall heat transfer cofficient for the plate HX
Typical values : 2000 to 7000 W.m-2.K-1, change value in cell K56</t>
  </si>
  <si>
    <t xml:space="preserve">Verify that the calculated heat</t>
  </si>
  <si>
    <t xml:space="preserve">Modify this value to equal the</t>
  </si>
  <si>
    <t xml:space="preserve">ESTIMATED heat transfer coefficient</t>
  </si>
  <si>
    <t xml:space="preserve">H</t>
  </si>
  <si>
    <t xml:space="preserve">W/m2.c</t>
  </si>
  <si>
    <t xml:space="preserve">Check if the pressure drop</t>
  </si>
  <si>
    <t xml:space="preserve">Maximum allowable pressure drop hot side</t>
  </si>
  <si>
    <t xml:space="preserve">bar</t>
  </si>
  <si>
    <t xml:space="preserve">is below target</t>
  </si>
  <si>
    <t xml:space="preserve">transfer in cell K91 or K92</t>
  </si>
  <si>
    <t xml:space="preserve">Calculated heat transfer</t>
  </si>
  <si>
    <t xml:space="preserve">Maximum allowable pressure drop cold side</t>
  </si>
  <si>
    <t xml:space="preserve">If not, heat exchanger geometry</t>
  </si>
  <si>
    <t xml:space="preserve">is higher than required</t>
  </si>
  <si>
    <t xml:space="preserve">Coffecient in cell K91 or K92</t>
  </si>
  <si>
    <t xml:space="preserve">Step 2 Calculate the required heat flux and estimate exchange area required</t>
  </si>
  <si>
    <t xml:space="preserve">must be changed</t>
  </si>
  <si>
    <t xml:space="preserve">coffecient in cell K56</t>
  </si>
  <si>
    <t xml:space="preserve">Required heat flux</t>
  </si>
  <si>
    <t xml:space="preserve">Phi</t>
  </si>
  <si>
    <t xml:space="preserve">kW</t>
  </si>
  <si>
    <t xml:space="preserve">If one temperature is missing the tool calculated it automatically below</t>
  </si>
  <si>
    <t xml:space="preserve">Missing temperature to calculate</t>
  </si>
  <si>
    <t xml:space="preserve">Check calculation is ok (heat flux is same on both sides)</t>
  </si>
  <si>
    <t xml:space="preserve">DTML then surface are calculated from fluid properties, temperature and heat transfer coeff</t>
  </si>
  <si>
    <t xml:space="preserve">DTML</t>
  </si>
  <si>
    <t xml:space="preserve">Estimated heat transfer surface required</t>
  </si>
  <si>
    <t xml:space="preserve">S</t>
  </si>
  <si>
    <t xml:space="preserve">Step 3 Calculate the number of plates required</t>
  </si>
  <si>
    <t xml:space="preserve">Hydraulic diameter</t>
  </si>
  <si>
    <t xml:space="preserve">Dh</t>
  </si>
  <si>
    <t xml:space="preserve">Number of plates required</t>
  </si>
  <si>
    <t xml:space="preserve">N</t>
  </si>
  <si>
    <t xml:space="preserve">plates</t>
  </si>
  <si>
    <t xml:space="preserve">Number of channels per fluid</t>
  </si>
  <si>
    <t xml:space="preserve">n</t>
  </si>
  <si>
    <t xml:space="preserve">channels</t>
  </si>
  <si>
    <t xml:space="preserve">Step 4 Confirmation of the heat exchanger size</t>
  </si>
  <si>
    <t xml:space="preserve">Velocity of hot fluid in between plates</t>
  </si>
  <si>
    <t xml:space="preserve">uhot</t>
  </si>
  <si>
    <t xml:space="preserve">m/s</t>
  </si>
  <si>
    <t xml:space="preserve">Velocity of cold fluid in between plates</t>
  </si>
  <si>
    <t xml:space="preserve">ucold</t>
  </si>
  <si>
    <t xml:space="preserve">Mass velocity through hot channel</t>
  </si>
  <si>
    <t xml:space="preserve">Gchot</t>
  </si>
  <si>
    <t xml:space="preserve">kg/m2.s</t>
  </si>
  <si>
    <t xml:space="preserve">Mass velocity through cold channel</t>
  </si>
  <si>
    <t xml:space="preserve">Gccold</t>
  </si>
  <si>
    <t xml:space="preserve">Reynolds number flow on hot side</t>
  </si>
  <si>
    <t xml:space="preserve">Rehot</t>
  </si>
  <si>
    <t xml:space="preserve">Reynolds number flow on cold side</t>
  </si>
  <si>
    <t xml:space="preserve">Recold</t>
  </si>
  <si>
    <t xml:space="preserve">Enter below the Nusselt correlation coefficient, read them in sheet “coefficients”</t>
  </si>
  <si>
    <t xml:space="preserve">Nusselt correlation coefficient a</t>
  </si>
  <si>
    <t xml:space="preserve">a</t>
  </si>
  <si>
    <t xml:space="preserve">Nusselt correlation coefficient b</t>
  </si>
  <si>
    <t xml:space="preserve">Prandlt number on hot side</t>
  </si>
  <si>
    <t xml:space="preserve">Prhot</t>
  </si>
  <si>
    <t xml:space="preserve">Prandlt number on cold side</t>
  </si>
  <si>
    <t xml:space="preserve">Prcold</t>
  </si>
  <si>
    <t xml:space="preserve">Assumption : Pr_wall = Prhot resp. Prcold depending on side</t>
  </si>
  <si>
    <t xml:space="preserve">Nusselt number on hot side</t>
  </si>
  <si>
    <t xml:space="preserve">Nuhot</t>
  </si>
  <si>
    <t xml:space="preserve">Nusselt number on cold side</t>
  </si>
  <si>
    <t xml:space="preserve">Nucold</t>
  </si>
  <si>
    <t xml:space="preserve">Heat transfer coefficient hot side</t>
  </si>
  <si>
    <t xml:space="preserve">hhot</t>
  </si>
  <si>
    <t xml:space="preserve">Heat transfer coefficient cold side</t>
  </si>
  <si>
    <t xml:space="preserve">hcold</t>
  </si>
  <si>
    <t xml:space="preserve">Overall heat transfer coefficient clean</t>
  </si>
  <si>
    <t xml:space="preserve">H_clean</t>
  </si>
  <si>
    <t xml:space="preserve">Overall heat transfer coefficient dirty</t>
  </si>
  <si>
    <t xml:space="preserve">H_fouled</t>
  </si>
  <si>
    <t xml:space="preserve">Safety factor</t>
  </si>
  <si>
    <t xml:space="preserve">Step 5 Pressure drop calculation</t>
  </si>
  <si>
    <t xml:space="preserve">Friction factory correlation cofficient Kp</t>
  </si>
  <si>
    <t xml:space="preserve">Kp</t>
  </si>
  <si>
    <t xml:space="preserve">Friction factory correlation cofficient m</t>
  </si>
  <si>
    <t xml:space="preserve">Friction factor in hot fluid channel</t>
  </si>
  <si>
    <t xml:space="preserve">fhot</t>
  </si>
  <si>
    <t xml:space="preserve">Friction factor in cold fluid channel</t>
  </si>
  <si>
    <t xml:space="preserve">fcold</t>
  </si>
  <si>
    <t xml:space="preserve">Pressure drop in hot fluid channel</t>
  </si>
  <si>
    <t xml:space="preserve">Dphot</t>
  </si>
  <si>
    <t xml:space="preserve">Pa</t>
  </si>
  <si>
    <t xml:space="preserve">Pressure drop in cold fluid channel</t>
  </si>
  <si>
    <t xml:space="preserve">Dpcold</t>
  </si>
  <si>
    <t xml:space="preserve">Hot fluid port velocity</t>
  </si>
  <si>
    <t xml:space="preserve">Gphot</t>
  </si>
  <si>
    <t xml:space="preserve">Cold fluid port velocity</t>
  </si>
  <si>
    <t xml:space="preserve">Gpcold</t>
  </si>
  <si>
    <t xml:space="preserve">Pressure drop in hot fluid port</t>
  </si>
  <si>
    <t xml:space="preserve">Pressure drop in cold fluid port</t>
  </si>
  <si>
    <t xml:space="preserve">Total pressure drop hot fluid</t>
  </si>
  <si>
    <t xml:space="preserve">Dpthot</t>
  </si>
  <si>
    <t xml:space="preserve">Total pressure drop cold fluid</t>
  </si>
  <si>
    <t xml:space="preserve">Dptcold</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</si>
  <si>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</si>
  <si>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</si>
  <si>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</si>
  <si>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Plate surface area</t>
  </si>
  <si>
    <t xml:space="preserve">Port diameter</t>
  </si>
  <si>
    <t xml:space="preserve">Vertical port distance</t>
  </si>
  <si>
    <t xml:space="preserve">Horizontal port distance</t>
  </si>
  <si>
    <t xml:space="preserve">Projected plate length</t>
  </si>
  <si>
    <t xml:space="preserve">Plate width</t>
  </si>
  <si>
    <t xml:space="preserve">Single plate projected area</t>
  </si>
  <si>
    <t xml:space="preserve">Projected and effective surface areas are different because of the corrugations of the plates that add effective surface area</t>
  </si>
  <si>
    <t xml:space="preserve">Effective plate surface area</t>
  </si>
  <si>
    <t xml:space="preserve">Enlargement factor</t>
  </si>
  <si>
    <t xml:space="preserve">Example of commercial geometry</t>
  </si>
  <si>
    <t xml:space="preserve">MyEngineeringTools.com has NO relation with the company, only shared as example</t>
  </si>
  <si>
    <t xml:space="preserve">(From Heat Exchangers, Selection, Rating and Thermal Design, Kakac et al, CRC Press)</t>
  </si>
  <si>
    <t xml:space="preserve">Corrugation angle in °</t>
  </si>
  <si>
    <t xml:space="preserve">Re</t>
  </si>
  <si>
    <t xml:space="preserve">&lt;30</t>
  </si>
  <si>
    <t xml:space="preserve">&lt;10</t>
  </si>
  <si>
    <t xml:space="preserve">&gt;10</t>
  </si>
  <si>
    <t xml:space="preserve">10-100</t>
  </si>
  <si>
    <t xml:space="preserve">&gt;100</t>
  </si>
  <si>
    <t xml:space="preserve">&lt;20</t>
  </si>
  <si>
    <t xml:space="preserve">20-300</t>
  </si>
  <si>
    <t xml:space="preserve">&gt;300</t>
  </si>
  <si>
    <t xml:space="preserve">20-400</t>
  </si>
  <si>
    <t xml:space="preserve">&gt;400</t>
  </si>
  <si>
    <t xml:space="preserve">&gt;65</t>
  </si>
  <si>
    <t xml:space="preserve">20-500</t>
  </si>
  <si>
    <t xml:space="preserve">&gt;500</t>
  </si>
  <si>
    <t xml:space="preserve">&lt;15</t>
  </si>
  <si>
    <t xml:space="preserve">15-300</t>
  </si>
  <si>
    <t xml:space="preserve">&lt;40</t>
  </si>
  <si>
    <t xml:space="preserve">40-400</t>
  </si>
  <si>
    <t xml:space="preserve">50-500</t>
  </si>
</sst>
</file>

<file path=xl/styles.xml><?xml version="1.0" encoding="utf-8"?>
<styleSheet xmlns="http://schemas.openxmlformats.org/spreadsheetml/2006/main">
  <numFmts count="5">
    <numFmt numFmtId="164" formatCode="General"/>
    <numFmt numFmtId="165" formatCode="0.0"/>
    <numFmt numFmtId="166" formatCode="0"/>
    <numFmt numFmtId="167" formatCode="0.00"/>
    <numFmt numFmtId="168" formatCode="0.00000"/>
  </numFmts>
  <fonts count="18">
    <font>
      <sz val="10"/>
      <name val="Arial"/>
      <family val="2"/>
      <charset val="134"/>
    </font>
    <font>
      <sz val="10"/>
      <name val="Arial"/>
      <family val="0"/>
    </font>
    <font>
      <sz val="10"/>
      <name val="Arial"/>
      <family val="0"/>
    </font>
    <font>
      <sz val="10"/>
      <name val="Arial"/>
      <family val="0"/>
    </font>
    <font>
      <b val="true"/>
      <sz val="14"/>
      <name val="Arial"/>
      <family val="2"/>
      <charset val="1"/>
    </font>
    <font>
      <b val="true"/>
      <i val="true"/>
      <sz val="14"/>
      <name val="Arial"/>
      <family val="2"/>
      <charset val="1"/>
    </font>
    <font>
      <b val="true"/>
      <i val="true"/>
      <vertAlign val="superscript"/>
      <sz val="14"/>
      <name val="Arial"/>
      <family val="2"/>
      <charset val="1"/>
    </font>
    <font>
      <b val="true"/>
      <sz val="11"/>
      <color rgb="FF1F497D"/>
      <name val="Calibri"/>
      <family val="2"/>
      <charset val="1"/>
    </font>
    <font>
      <b val="true"/>
      <sz val="10"/>
      <name val="Arial"/>
      <family val="2"/>
      <charset val="1"/>
    </font>
    <font>
      <b val="true"/>
      <sz val="11"/>
      <color rgb="FFFF0000"/>
      <name val="Calibri"/>
      <family val="2"/>
      <charset val="1"/>
    </font>
    <font>
      <i val="true"/>
      <sz val="10"/>
      <name val="Arial"/>
      <family val="2"/>
      <charset val="1"/>
    </font>
    <font>
      <sz val="8"/>
      <color rgb="FFC9211E"/>
      <name val="Arial"/>
      <family val="2"/>
      <charset val="134"/>
    </font>
    <font>
      <sz val="10"/>
      <name val="Arial"/>
      <family val="0"/>
      <charset val="1"/>
    </font>
    <font>
      <b val="true"/>
      <sz val="10"/>
      <name val="Arial"/>
      <family val="2"/>
      <charset val="134"/>
    </font>
    <font>
      <b val="true"/>
      <sz val="11"/>
      <color rgb="FFFF0000"/>
      <name val="Calibri"/>
      <family val="2"/>
    </font>
    <font>
      <sz val="10"/>
      <color rgb="FF0000FF"/>
      <name val="Arial"/>
      <family val="2"/>
      <charset val="1"/>
    </font>
    <font>
      <sz val="10"/>
      <color rgb="FF0000FF"/>
      <name val="Times New Roman"/>
      <family val="1"/>
      <charset val="1"/>
    </font>
    <font>
      <i val="true"/>
      <sz val="10"/>
      <name val="Times New Roman"/>
      <family val="1"/>
      <charset val="1"/>
    </font>
  </fonts>
  <fills count="12">
    <fill>
      <patternFill patternType="none"/>
    </fill>
    <fill>
      <patternFill patternType="gray125"/>
    </fill>
    <fill>
      <patternFill patternType="solid">
        <fgColor rgb="FFF10D0C"/>
        <bgColor rgb="FFFF0000"/>
      </patternFill>
    </fill>
    <fill>
      <patternFill patternType="solid">
        <fgColor rgb="FFF6F9D4"/>
        <bgColor rgb="FFFFFFD7"/>
      </patternFill>
    </fill>
    <fill>
      <patternFill patternType="solid">
        <fgColor rgb="FFEBF1DE"/>
        <bgColor rgb="FFF6F9D4"/>
      </patternFill>
    </fill>
    <fill>
      <patternFill patternType="solid">
        <fgColor rgb="FFFFFFD7"/>
        <bgColor rgb="FFF6F9D4"/>
      </patternFill>
    </fill>
    <fill>
      <patternFill patternType="solid">
        <fgColor rgb="FFFCD5B5"/>
        <bgColor rgb="FFFFD7D7"/>
      </patternFill>
    </fill>
    <fill>
      <patternFill patternType="solid">
        <fgColor rgb="FFFFD7D7"/>
        <bgColor rgb="FFFCD5B5"/>
      </patternFill>
    </fill>
    <fill>
      <patternFill patternType="solid">
        <fgColor rgb="FFFFFF6D"/>
        <bgColor rgb="FFD4EA6B"/>
      </patternFill>
    </fill>
    <fill>
      <patternFill patternType="solid">
        <fgColor rgb="FFB4C7DC"/>
        <bgColor rgb="FF99CCFF"/>
      </patternFill>
    </fill>
    <fill>
      <patternFill patternType="solid">
        <fgColor rgb="FFDEDCE6"/>
        <bgColor rgb="FFEBF1DE"/>
      </patternFill>
    </fill>
    <fill>
      <patternFill patternType="solid">
        <fgColor rgb="FFD4EA6B"/>
        <bgColor rgb="FFFFFF6D"/>
      </patternFill>
    </fill>
  </fills>
  <borders count="15">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style="hair"/>
      <right/>
      <top style="hair"/>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2" borderId="0" xfId="0" applyFont="true" applyBorder="false" applyAlignment="false" applyProtection="tru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4" fillId="3" borderId="1" xfId="0" applyFont="true" applyBorder="true" applyAlignment="true" applyProtection="true">
      <alignment horizontal="center" vertical="center" textRotation="0" wrapText="true" indent="0" shrinkToFit="false"/>
      <protection locked="true" hidden="false"/>
    </xf>
    <xf numFmtId="164" fontId="7" fillId="4" borderId="0" xfId="0" applyFont="true" applyBorder="false" applyAlignment="false" applyProtection="true">
      <alignment horizontal="general" vertical="bottom"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8" fillId="5" borderId="1" xfId="0" applyFont="true" applyBorder="true" applyAlignment="true" applyProtection="true">
      <alignment horizontal="center" vertical="center" textRotation="0" wrapText="false" indent="0" shrinkToFit="false"/>
      <protection locked="true" hidden="false"/>
    </xf>
    <xf numFmtId="164" fontId="8" fillId="0" borderId="2" xfId="0" applyFont="true" applyBorder="true" applyAlignment="true" applyProtection="true">
      <alignment horizontal="center" vertical="center" textRotation="0" wrapText="false" indent="0" shrinkToFit="false"/>
      <protection locked="true" hidden="false"/>
    </xf>
    <xf numFmtId="164" fontId="9" fillId="6" borderId="0" xfId="0" applyFont="true" applyBorder="false" applyAlignment="false" applyProtection="true">
      <alignment horizontal="general" vertical="bottom" textRotation="0" wrapText="false" indent="0" shrinkToFit="false"/>
      <protection locked="true" hidden="false"/>
    </xf>
    <xf numFmtId="164" fontId="10" fillId="0" borderId="1" xfId="0" applyFont="true" applyBorder="true" applyAlignment="true" applyProtection="true">
      <alignment horizontal="center" vertical="center" textRotation="0" wrapText="false" indent="0" shrinkToFit="false"/>
      <protection locked="true" hidden="false"/>
    </xf>
    <xf numFmtId="164" fontId="8" fillId="0" borderId="3"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bottom" textRotation="0" wrapText="false" indent="0" shrinkToFit="false"/>
      <protection locked="true" hidden="false"/>
    </xf>
    <xf numFmtId="164" fontId="0" fillId="7" borderId="1" xfId="0" applyFont="true" applyBorder="true" applyAlignment="false" applyProtection="true">
      <alignment horizontal="general" vertical="bottom" textRotation="0" wrapText="false" indent="0" shrinkToFit="false"/>
      <protection locked="true" hidden="false"/>
    </xf>
    <xf numFmtId="164" fontId="0" fillId="0" borderId="1" xfId="0" applyFont="true" applyBorder="true" applyAlignment="false" applyProtection="true">
      <alignment horizontal="general" vertical="bottom" textRotation="0" wrapText="false" indent="0" shrinkToFit="false"/>
      <protection locked="true" hidden="false"/>
    </xf>
    <xf numFmtId="164" fontId="7" fillId="4" borderId="1" xfId="0" applyFont="true" applyBorder="true" applyAlignment="false" applyProtection="true">
      <alignment horizontal="general" vertical="bottom" textRotation="0" wrapText="false" indent="0" shrinkToFit="false"/>
      <protection locked="true" hidden="false"/>
    </xf>
    <xf numFmtId="164" fontId="0" fillId="8" borderId="4" xfId="0" applyFont="false" applyBorder="true" applyAlignment="false" applyProtection="true">
      <alignment horizontal="general" vertical="bottom" textRotation="0" wrapText="false" indent="0" shrinkToFit="false"/>
      <protection locked="true" hidden="false"/>
    </xf>
    <xf numFmtId="164" fontId="0" fillId="8" borderId="5" xfId="0" applyFont="false" applyBorder="true" applyAlignment="false" applyProtection="true">
      <alignment horizontal="general" vertical="bottom" textRotation="0" wrapText="false" indent="0" shrinkToFit="false"/>
      <protection locked="true" hidden="false"/>
    </xf>
    <xf numFmtId="164" fontId="0" fillId="8" borderId="6" xfId="0" applyFont="false" applyBorder="true" applyAlignment="false" applyProtection="true">
      <alignment horizontal="general" vertical="bottom" textRotation="0" wrapText="false" indent="0" shrinkToFit="false"/>
      <protection locked="true" hidden="false"/>
    </xf>
    <xf numFmtId="164" fontId="0" fillId="0" borderId="7" xfId="0" applyFont="false" applyBorder="true" applyAlignment="false" applyProtection="true">
      <alignment horizontal="general" vertical="bottom" textRotation="0" wrapText="false" indent="0" shrinkToFit="false"/>
      <protection locked="true" hidden="false"/>
    </xf>
    <xf numFmtId="164" fontId="0" fillId="0" borderId="8" xfId="0" applyFont="false" applyBorder="true" applyAlignment="false" applyProtection="true">
      <alignment horizontal="general" vertical="bottom" textRotation="0" wrapText="false" indent="0" shrinkToFit="false"/>
      <protection locked="true" hidden="false"/>
    </xf>
    <xf numFmtId="164" fontId="0" fillId="8" borderId="7" xfId="0" applyFont="false" applyBorder="true" applyAlignment="false" applyProtection="true">
      <alignment horizontal="general" vertical="bottom" textRotation="0" wrapText="false" indent="0" shrinkToFit="false"/>
      <protection locked="true" hidden="false"/>
    </xf>
    <xf numFmtId="164" fontId="0" fillId="8" borderId="0" xfId="0" applyFont="false" applyBorder="false" applyAlignment="false" applyProtection="true">
      <alignment horizontal="general" vertical="bottom" textRotation="0" wrapText="false" indent="0" shrinkToFit="false"/>
      <protection locked="true" hidden="false"/>
    </xf>
    <xf numFmtId="164" fontId="0" fillId="8" borderId="8" xfId="0" applyFont="false" applyBorder="true" applyAlignment="false" applyProtection="true">
      <alignment horizontal="general" vertical="bottom" textRotation="0" wrapText="false" indent="0" shrinkToFit="false"/>
      <protection locked="true" hidden="false"/>
    </xf>
    <xf numFmtId="164" fontId="0" fillId="9" borderId="1" xfId="0" applyFont="true" applyBorder="true" applyAlignment="false" applyProtection="true">
      <alignment horizontal="general" vertical="bottom" textRotation="0" wrapText="false" indent="0" shrinkToFit="false"/>
      <protection locked="true" hidden="false"/>
    </xf>
    <xf numFmtId="164" fontId="0" fillId="8" borderId="9" xfId="0" applyFont="false" applyBorder="true" applyAlignment="false" applyProtection="true">
      <alignment horizontal="general" vertical="bottom" textRotation="0" wrapText="false" indent="0" shrinkToFit="false"/>
      <protection locked="true" hidden="false"/>
    </xf>
    <xf numFmtId="164" fontId="0" fillId="8" borderId="10" xfId="0" applyFont="false" applyBorder="true" applyAlignment="false" applyProtection="true">
      <alignment horizontal="general" vertical="bottom" textRotation="0" wrapText="false" indent="0" shrinkToFit="false"/>
      <protection locked="true" hidden="false"/>
    </xf>
    <xf numFmtId="164" fontId="0" fillId="8" borderId="11" xfId="0" applyFont="false" applyBorder="true" applyAlignment="false" applyProtection="true">
      <alignment horizontal="general" vertical="bottom" textRotation="0" wrapText="false" indent="0" shrinkToFit="false"/>
      <protection locked="true" hidden="false"/>
    </xf>
    <xf numFmtId="165" fontId="9" fillId="6" borderId="0" xfId="0" applyFont="true" applyBorder="false" applyAlignment="false" applyProtection="true">
      <alignment horizontal="general" vertical="bottom" textRotation="0" wrapText="false" indent="0" shrinkToFit="false"/>
      <protection locked="true" hidden="false"/>
    </xf>
    <xf numFmtId="164" fontId="0" fillId="0" borderId="9" xfId="0" applyFont="false" applyBorder="true" applyAlignment="false" applyProtection="true">
      <alignment horizontal="general" vertical="bottom" textRotation="0" wrapText="false" indent="0" shrinkToFit="false"/>
      <protection locked="true" hidden="false"/>
    </xf>
    <xf numFmtId="164" fontId="0" fillId="0" borderId="10" xfId="0" applyFont="false" applyBorder="true" applyAlignment="false" applyProtection="true">
      <alignment horizontal="general" vertical="bottom" textRotation="0" wrapText="false" indent="0" shrinkToFit="false"/>
      <protection locked="true" hidden="false"/>
    </xf>
    <xf numFmtId="164" fontId="0" fillId="0" borderId="11" xfId="0" applyFont="false" applyBorder="true" applyAlignment="false" applyProtection="true">
      <alignment horizontal="general" vertical="bottom" textRotation="0" wrapText="false" indent="0" shrinkToFit="false"/>
      <protection locked="true" hidden="false"/>
    </xf>
    <xf numFmtId="164" fontId="0" fillId="0" borderId="4" xfId="0" applyFont="false" applyBorder="true" applyAlignment="false" applyProtection="true">
      <alignment horizontal="general" vertical="bottom" textRotation="0" wrapText="false" indent="0" shrinkToFit="false"/>
      <protection locked="true" hidden="false"/>
    </xf>
    <xf numFmtId="164" fontId="0" fillId="0" borderId="5" xfId="0" applyFont="false" applyBorder="true" applyAlignment="false" applyProtection="true">
      <alignment horizontal="general" vertical="bottom" textRotation="0" wrapText="false" indent="0" shrinkToFit="false"/>
      <protection locked="true" hidden="false"/>
    </xf>
    <xf numFmtId="164" fontId="0" fillId="0" borderId="6" xfId="0" applyFont="false" applyBorder="true" applyAlignment="false" applyProtection="true">
      <alignment horizontal="general" vertical="bottom" textRotation="0" wrapText="false" indent="0" shrinkToFit="false"/>
      <protection locked="true" hidden="false"/>
    </xf>
    <xf numFmtId="166" fontId="9" fillId="6" borderId="1" xfId="0" applyFont="true" applyBorder="true" applyAlignment="true" applyProtection="true">
      <alignment horizontal="center" vertical="bottom" textRotation="0" wrapText="false" indent="0" shrinkToFit="false"/>
      <protection locked="true" hidden="false"/>
    </xf>
    <xf numFmtId="164" fontId="0" fillId="0" borderId="1" xfId="0" applyFont="true" applyBorder="true" applyAlignment="true" applyProtection="true">
      <alignment horizontal="general" vertical="bottom" textRotation="0" wrapText="true" indent="0" shrinkToFit="false"/>
      <protection locked="true" hidden="false"/>
    </xf>
    <xf numFmtId="164" fontId="12" fillId="0" borderId="1" xfId="0" applyFont="true" applyBorder="true" applyAlignment="false" applyProtection="true">
      <alignment horizontal="general" vertical="bottom" textRotation="0" wrapText="false" indent="0" shrinkToFit="false"/>
      <protection locked="true" hidden="false"/>
    </xf>
    <xf numFmtId="167" fontId="9" fillId="6" borderId="1" xfId="0" applyFont="true" applyBorder="true" applyAlignment="true" applyProtection="true">
      <alignment horizontal="center" vertical="bottom" textRotation="0" wrapText="false" indent="0" shrinkToFit="false"/>
      <protection locked="true" hidden="false"/>
    </xf>
    <xf numFmtId="164" fontId="0" fillId="0" borderId="9" xfId="0" applyFont="true" applyBorder="true" applyAlignment="true" applyProtection="true">
      <alignment horizontal="center" vertical="center" textRotation="0" wrapText="true" indent="0" shrinkToFit="false"/>
      <protection locked="true" hidden="false"/>
    </xf>
    <xf numFmtId="164" fontId="0" fillId="10" borderId="4" xfId="0" applyFont="true" applyBorder="true" applyAlignment="false" applyProtection="true">
      <alignment horizontal="general" vertical="bottom" textRotation="0" wrapText="false" indent="0" shrinkToFit="false"/>
      <protection locked="true" hidden="false"/>
    </xf>
    <xf numFmtId="164" fontId="0" fillId="10" borderId="5" xfId="0" applyFont="false" applyBorder="true" applyAlignment="false" applyProtection="true">
      <alignment horizontal="general" vertical="bottom" textRotation="0" wrapText="false" indent="0" shrinkToFit="false"/>
      <protection locked="true" hidden="false"/>
    </xf>
    <xf numFmtId="164" fontId="0" fillId="10" borderId="6" xfId="0" applyFont="true" applyBorder="true" applyAlignment="true" applyProtection="true">
      <alignment horizontal="general" vertical="bottom" textRotation="0" wrapText="true" indent="0" shrinkToFit="false"/>
      <protection locked="true" hidden="false"/>
    </xf>
    <xf numFmtId="164" fontId="0" fillId="10" borderId="12" xfId="0" applyFont="false" applyBorder="true" applyAlignment="false" applyProtection="true">
      <alignment horizontal="general" vertical="bottom" textRotation="0" wrapText="false" indent="0" shrinkToFit="false"/>
      <protection locked="true" hidden="false"/>
    </xf>
    <xf numFmtId="164" fontId="13" fillId="10" borderId="12" xfId="0" applyFont="true" applyBorder="true" applyAlignment="true" applyProtection="true">
      <alignment horizontal="center" vertical="center" textRotation="0" wrapText="true" indent="0" shrinkToFit="false"/>
      <protection locked="true" hidden="false"/>
    </xf>
    <xf numFmtId="164" fontId="13" fillId="10" borderId="7" xfId="0" applyFont="true" applyBorder="true" applyAlignment="false" applyProtection="true">
      <alignment horizontal="general" vertical="bottom" textRotation="0" wrapText="false" indent="0" shrinkToFit="false"/>
      <protection locked="true" hidden="false"/>
    </xf>
    <xf numFmtId="164" fontId="0" fillId="10" borderId="0" xfId="0" applyFont="false" applyBorder="false" applyAlignment="false" applyProtection="true">
      <alignment horizontal="general" vertical="bottom" textRotation="0" wrapText="false" indent="0" shrinkToFit="false"/>
      <protection locked="true" hidden="false"/>
    </xf>
    <xf numFmtId="164" fontId="13" fillId="10" borderId="8" xfId="0" applyFont="true" applyBorder="true" applyAlignment="false" applyProtection="true">
      <alignment horizontal="general" vertical="bottom" textRotation="0" wrapText="false" indent="0" shrinkToFit="false"/>
      <protection locked="true" hidden="false"/>
    </xf>
    <xf numFmtId="164" fontId="0" fillId="0" borderId="0" xfId="0" applyFont="false" applyBorder="true" applyAlignment="false" applyProtection="true">
      <alignment horizontal="general" vertical="bottom" textRotation="0" wrapText="false" indent="0" shrinkToFit="false"/>
      <protection locked="true" hidden="false"/>
    </xf>
    <xf numFmtId="164" fontId="0" fillId="11" borderId="4" xfId="0" applyFont="true" applyBorder="true" applyAlignment="false" applyProtection="true">
      <alignment horizontal="general" vertical="bottom" textRotation="0" wrapText="false" indent="0" shrinkToFit="false"/>
      <protection locked="true" hidden="false"/>
    </xf>
    <xf numFmtId="164" fontId="0" fillId="11" borderId="5" xfId="0" applyFont="false" applyBorder="true" applyAlignment="false" applyProtection="true">
      <alignment horizontal="general" vertical="bottom" textRotation="0" wrapText="false" indent="0" shrinkToFit="false"/>
      <protection locked="true" hidden="false"/>
    </xf>
    <xf numFmtId="164" fontId="0" fillId="11" borderId="6" xfId="0" applyFont="false" applyBorder="true" applyAlignment="false" applyProtection="true">
      <alignment horizontal="general" vertical="bottom" textRotation="0" wrapText="false" indent="0" shrinkToFit="false"/>
      <protection locked="true" hidden="false"/>
    </xf>
    <xf numFmtId="164" fontId="0" fillId="11" borderId="0" xfId="0" applyFont="false" applyBorder="false" applyAlignment="false" applyProtection="true">
      <alignment horizontal="general" vertical="bottom" textRotation="0" wrapText="false" indent="0" shrinkToFit="false"/>
      <protection locked="true" hidden="false"/>
    </xf>
    <xf numFmtId="164" fontId="0" fillId="11" borderId="2" xfId="0" applyFont="false" applyBorder="true" applyAlignment="false" applyProtection="true">
      <alignment horizontal="general" vertical="bottom" textRotation="0" wrapText="false" indent="0" shrinkToFit="false"/>
      <protection locked="true" hidden="false"/>
    </xf>
    <xf numFmtId="164" fontId="0" fillId="11" borderId="7" xfId="0" applyFont="true" applyBorder="true" applyAlignment="false" applyProtection="true">
      <alignment horizontal="general" vertical="bottom" textRotation="0" wrapText="false" indent="0" shrinkToFit="false"/>
      <protection locked="true" hidden="false"/>
    </xf>
    <xf numFmtId="164" fontId="0" fillId="11" borderId="8" xfId="0" applyFont="false" applyBorder="true" applyAlignment="false" applyProtection="true">
      <alignment horizontal="general" vertical="bottom" textRotation="0" wrapText="false" indent="0" shrinkToFit="false"/>
      <protection locked="true" hidden="false"/>
    </xf>
    <xf numFmtId="164" fontId="0" fillId="11" borderId="13" xfId="0" applyFont="false" applyBorder="true" applyAlignment="false" applyProtection="true">
      <alignment horizontal="general" vertical="bottom" textRotation="0" wrapText="false" indent="0" shrinkToFit="false"/>
      <protection locked="true" hidden="false"/>
    </xf>
    <xf numFmtId="164" fontId="8" fillId="10" borderId="0" xfId="0" applyFont="true" applyBorder="false" applyAlignment="false" applyProtection="true">
      <alignment horizontal="general" vertical="bottom" textRotation="0" wrapText="false" indent="0" shrinkToFit="false"/>
      <protection locked="true" hidden="false"/>
    </xf>
    <xf numFmtId="164" fontId="8" fillId="10" borderId="8" xfId="0" applyFont="true" applyBorder="true" applyAlignment="false" applyProtection="true">
      <alignment horizontal="general" vertical="bottom" textRotation="0" wrapText="false" indent="0" shrinkToFit="false"/>
      <protection locked="true" hidden="false"/>
    </xf>
    <xf numFmtId="164" fontId="8" fillId="5" borderId="14" xfId="0" applyFont="true" applyBorder="true" applyAlignment="true" applyProtection="true">
      <alignment horizontal="center" vertical="center" textRotation="0" wrapText="false" indent="0" shrinkToFit="false"/>
      <protection locked="true" hidden="false"/>
    </xf>
    <xf numFmtId="164" fontId="0" fillId="11" borderId="9" xfId="0" applyFont="true" applyBorder="true" applyAlignment="false" applyProtection="true">
      <alignment horizontal="general" vertical="bottom" textRotation="0" wrapText="false" indent="0" shrinkToFit="false"/>
      <protection locked="true" hidden="false"/>
    </xf>
    <xf numFmtId="164" fontId="0" fillId="11" borderId="10" xfId="0" applyFont="false" applyBorder="true" applyAlignment="false" applyProtection="true">
      <alignment horizontal="general" vertical="bottom" textRotation="0" wrapText="false" indent="0" shrinkToFit="false"/>
      <protection locked="true" hidden="false"/>
    </xf>
    <xf numFmtId="164" fontId="0" fillId="11" borderId="11" xfId="0" applyFont="false" applyBorder="true" applyAlignment="false" applyProtection="true">
      <alignment horizontal="general" vertical="bottom" textRotation="0" wrapText="false" indent="0" shrinkToFit="false"/>
      <protection locked="true" hidden="false"/>
    </xf>
    <xf numFmtId="164" fontId="13" fillId="10" borderId="9" xfId="0" applyFont="true" applyBorder="true" applyAlignment="false" applyProtection="true">
      <alignment horizontal="general" vertical="bottom" textRotation="0" wrapText="false" indent="0" shrinkToFit="false"/>
      <protection locked="true" hidden="false"/>
    </xf>
    <xf numFmtId="164" fontId="0" fillId="10" borderId="10" xfId="0" applyFont="false" applyBorder="true" applyAlignment="false" applyProtection="true">
      <alignment horizontal="general" vertical="bottom" textRotation="0" wrapText="false" indent="0" shrinkToFit="false"/>
      <protection locked="true" hidden="false"/>
    </xf>
    <xf numFmtId="164" fontId="0" fillId="10" borderId="11" xfId="0" applyFont="false" applyBorder="true" applyAlignment="false" applyProtection="true">
      <alignment horizontal="general" vertical="bottom" textRotation="0" wrapText="false" indent="0" shrinkToFit="false"/>
      <protection locked="true" hidden="false"/>
    </xf>
    <xf numFmtId="168" fontId="9" fillId="6" borderId="1" xfId="0" applyFont="true" applyBorder="true" applyAlignment="true" applyProtection="true">
      <alignment horizontal="center" vertical="bottom" textRotation="0" wrapText="false" indent="0" shrinkToFit="false"/>
      <protection locked="true" hidden="false"/>
    </xf>
    <xf numFmtId="167" fontId="14" fillId="6" borderId="1" xfId="0" applyFont="true" applyBorder="true" applyAlignment="true" applyProtection="true">
      <alignment horizontal="center" vertical="bottom" textRotation="0" wrapText="false" indent="0" shrinkToFit="false"/>
      <protection locked="true" hidden="false"/>
    </xf>
    <xf numFmtId="164" fontId="15" fillId="0" borderId="0" xfId="0" applyFont="true" applyBorder="false" applyAlignment="false" applyProtection="true">
      <alignment horizontal="general"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true" hidden="false"/>
    </xf>
    <xf numFmtId="164" fontId="17" fillId="0" borderId="0" xfId="0" applyFont="true" applyBorder="true" applyAlignment="true" applyProtection="true">
      <alignment horizontal="center" vertical="center" textRotation="0" wrapText="true" indent="0" shrinkToFit="false"/>
      <protection locked="true" hidden="false"/>
    </xf>
    <xf numFmtId="164" fontId="7" fillId="4" borderId="1" xfId="0" applyFont="true" applyBorder="true" applyAlignment="false" applyProtection="true">
      <alignment horizontal="general" vertical="bottom" textRotation="0" wrapText="false" indent="0" shrinkToFit="false"/>
      <protection locked="false" hidden="false"/>
    </xf>
    <xf numFmtId="164" fontId="0"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7" fontId="9" fillId="6" borderId="1"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6F9D4"/>
      <rgbColor rgb="FFFF0000"/>
      <rgbColor rgb="FF00FF00"/>
      <rgbColor rgb="FF0000FF"/>
      <rgbColor rgb="FFD4EA6B"/>
      <rgbColor rgb="FFFF00FF"/>
      <rgbColor rgb="FF00FFFF"/>
      <rgbColor rgb="FFF10D0C"/>
      <rgbColor rgb="FF008000"/>
      <rgbColor rgb="FF000080"/>
      <rgbColor rgb="FF808000"/>
      <rgbColor rgb="FF800080"/>
      <rgbColor rgb="FF008080"/>
      <rgbColor rgb="FFB4C7DC"/>
      <rgbColor rgb="FF808080"/>
      <rgbColor rgb="FF9999FF"/>
      <rgbColor rgb="FF993366"/>
      <rgbColor rgb="FFFFFFD7"/>
      <rgbColor rgb="FFFFD7D7"/>
      <rgbColor rgb="FF660066"/>
      <rgbColor rgb="FFFF8080"/>
      <rgbColor rgb="FF0066CC"/>
      <rgbColor rgb="FFDEDCE6"/>
      <rgbColor rgb="FF000080"/>
      <rgbColor rgb="FFFF00FF"/>
      <rgbColor rgb="FFFFFF00"/>
      <rgbColor rgb="FF00FFFF"/>
      <rgbColor rgb="FF800080"/>
      <rgbColor rgb="FF800000"/>
      <rgbColor rgb="FF008080"/>
      <rgbColor rgb="FF0000FF"/>
      <rgbColor rgb="FF00CCFF"/>
      <rgbColor rgb="FFCCFFFF"/>
      <rgbColor rgb="FFEBF1DE"/>
      <rgbColor rgb="FFFFFF6D"/>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29.jpeg"/><Relationship Id="rId2" Type="http://schemas.openxmlformats.org/officeDocument/2006/relationships/image" Target="../media/image230.emf"/><Relationship Id="rId3" Type="http://schemas.openxmlformats.org/officeDocument/2006/relationships/image" Target="../media/image231.png"/>
</Relationships>
</file>

<file path=xl/drawings/_rels/drawing2.xml.rels><?xml version="1.0" encoding="UTF-8"?>
<Relationships xmlns="http://schemas.openxmlformats.org/package/2006/relationships"><Relationship Id="rId1" Type="http://schemas.openxmlformats.org/officeDocument/2006/relationships/image" Target="../media/image232.jpeg"/><Relationship Id="rId2" Type="http://schemas.openxmlformats.org/officeDocument/2006/relationships/image" Target="../media/image233.emf"/><Relationship Id="rId3" Type="http://schemas.openxmlformats.org/officeDocument/2006/relationships/image" Target="../media/image234.png"/>
</Relationships>
</file>

<file path=xl/drawings/_rels/drawing3.xml.rels><?xml version="1.0" encoding="UTF-8"?>
<Relationships xmlns="http://schemas.openxmlformats.org/package/2006/relationships"><Relationship Id="rId1" Type="http://schemas.openxmlformats.org/officeDocument/2006/relationships/image" Target="../media/image235.png"/><Relationship Id="rId2" Type="http://schemas.openxmlformats.org/officeDocument/2006/relationships/image" Target="../media/image236.png"/><Relationship Id="rId3" Type="http://schemas.openxmlformats.org/officeDocument/2006/relationships/image" Target="../media/image237.emf"/>
</Relationships>
</file>

<file path=xl/drawings/_rels/drawing4.xml.rels><?xml version="1.0" encoding="UTF-8"?>
<Relationships xmlns="http://schemas.openxmlformats.org/package/2006/relationships"><Relationship Id="rId1" Type="http://schemas.openxmlformats.org/officeDocument/2006/relationships/image" Target="../media/image238.png"/><Relationship Id="rId2" Type="http://schemas.openxmlformats.org/officeDocument/2006/relationships/image" Target="../media/image239.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6</xdr:col>
      <xdr:colOff>56520</xdr:colOff>
      <xdr:row>2</xdr:row>
      <xdr:rowOff>52560</xdr:rowOff>
    </xdr:from>
    <xdr:to>
      <xdr:col>10</xdr:col>
      <xdr:colOff>96480</xdr:colOff>
      <xdr:row>5</xdr:row>
      <xdr:rowOff>143280</xdr:rowOff>
    </xdr:to>
    <xdr:pic>
      <xdr:nvPicPr>
        <xdr:cNvPr id="0" name="Image 2" descr=""/>
        <xdr:cNvPicPr/>
      </xdr:nvPicPr>
      <xdr:blipFill>
        <a:blip r:embed="rId1"/>
        <a:stretch/>
      </xdr:blipFill>
      <xdr:spPr>
        <a:xfrm>
          <a:off x="3570480" y="376560"/>
          <a:ext cx="5861160" cy="576360"/>
        </a:xfrm>
        <a:prstGeom prst="rect">
          <a:avLst/>
        </a:prstGeom>
        <a:ln w="0">
          <a:noFill/>
        </a:ln>
      </xdr:spPr>
    </xdr:pic>
    <xdr:clientData/>
  </xdr:twoCellAnchor>
  <xdr:twoCellAnchor editAs="absolute">
    <xdr:from>
      <xdr:col>1</xdr:col>
      <xdr:colOff>260640</xdr:colOff>
      <xdr:row>14</xdr:row>
      <xdr:rowOff>119880</xdr:rowOff>
    </xdr:from>
    <xdr:to>
      <xdr:col>1</xdr:col>
      <xdr:colOff>1764000</xdr:colOff>
      <xdr:row>14</xdr:row>
      <xdr:rowOff>119880</xdr:rowOff>
    </xdr:to>
    <xdr:sp>
      <xdr:nvSpPr>
        <xdr:cNvPr id="1" name="Horizontal line 1"/>
        <xdr:cNvSpPr/>
      </xdr:nvSpPr>
      <xdr:spPr>
        <a:xfrm>
          <a:off x="867240" y="2897280"/>
          <a:ext cx="1503360" cy="0"/>
        </a:xfrm>
        <a:prstGeom prst="line">
          <a:avLst/>
        </a:prstGeom>
        <a:ln w="54720">
          <a:solidFill>
            <a:srgbClr val="ff0000"/>
          </a:solidFill>
          <a:round/>
          <a:tailEnd len="med" type="triangle" w="med"/>
        </a:ln>
      </xdr:spPr>
      <xdr:style>
        <a:lnRef idx="0"/>
        <a:fillRef idx="0"/>
        <a:effectRef idx="0"/>
        <a:fontRef idx="minor"/>
      </xdr:style>
    </xdr:sp>
    <xdr:clientData/>
  </xdr:twoCellAnchor>
  <xdr:twoCellAnchor editAs="absolute">
    <xdr:from>
      <xdr:col>6</xdr:col>
      <xdr:colOff>65520</xdr:colOff>
      <xdr:row>14</xdr:row>
      <xdr:rowOff>98280</xdr:rowOff>
    </xdr:from>
    <xdr:to>
      <xdr:col>6</xdr:col>
      <xdr:colOff>1568880</xdr:colOff>
      <xdr:row>14</xdr:row>
      <xdr:rowOff>98280</xdr:rowOff>
    </xdr:to>
    <xdr:sp>
      <xdr:nvSpPr>
        <xdr:cNvPr id="2" name="Horizontal line 2"/>
        <xdr:cNvSpPr/>
      </xdr:nvSpPr>
      <xdr:spPr>
        <a:xfrm>
          <a:off x="3579480" y="2875680"/>
          <a:ext cx="1503360" cy="0"/>
        </a:xfrm>
        <a:prstGeom prst="line">
          <a:avLst/>
        </a:prstGeom>
        <a:ln w="54720">
          <a:solidFill>
            <a:srgbClr val="ff0000"/>
          </a:solidFill>
          <a:round/>
          <a:tailEnd len="med" type="triangle" w="med"/>
        </a:ln>
      </xdr:spPr>
      <xdr:style>
        <a:lnRef idx="0"/>
        <a:fillRef idx="0"/>
        <a:effectRef idx="0"/>
        <a:fontRef idx="minor"/>
      </xdr:style>
    </xdr:sp>
    <xdr:clientData/>
  </xdr:twoCellAnchor>
  <xdr:twoCellAnchor editAs="absolute">
    <xdr:from>
      <xdr:col>6</xdr:col>
      <xdr:colOff>30960</xdr:colOff>
      <xdr:row>21</xdr:row>
      <xdr:rowOff>123120</xdr:rowOff>
    </xdr:from>
    <xdr:to>
      <xdr:col>6</xdr:col>
      <xdr:colOff>1534320</xdr:colOff>
      <xdr:row>21</xdr:row>
      <xdr:rowOff>123120</xdr:rowOff>
    </xdr:to>
    <xdr:sp>
      <xdr:nvSpPr>
        <xdr:cNvPr id="3" name="Horizontal line 3"/>
        <xdr:cNvSpPr/>
      </xdr:nvSpPr>
      <xdr:spPr>
        <a:xfrm flipH="1">
          <a:off x="3544920" y="4114800"/>
          <a:ext cx="1503360" cy="0"/>
        </a:xfrm>
        <a:prstGeom prst="line">
          <a:avLst/>
        </a:prstGeom>
        <a:ln w="54720">
          <a:solidFill>
            <a:srgbClr val="3465a4"/>
          </a:solidFill>
          <a:round/>
          <a:tailEnd len="med" type="triangle" w="med"/>
        </a:ln>
      </xdr:spPr>
      <xdr:style>
        <a:lnRef idx="0"/>
        <a:fillRef idx="0"/>
        <a:effectRef idx="0"/>
        <a:fontRef idx="minor"/>
      </xdr:style>
    </xdr:sp>
    <xdr:clientData/>
  </xdr:twoCellAnchor>
  <xdr:twoCellAnchor editAs="absolute">
    <xdr:from>
      <xdr:col>1</xdr:col>
      <xdr:colOff>273600</xdr:colOff>
      <xdr:row>21</xdr:row>
      <xdr:rowOff>113040</xdr:rowOff>
    </xdr:from>
    <xdr:to>
      <xdr:col>1</xdr:col>
      <xdr:colOff>1776960</xdr:colOff>
      <xdr:row>21</xdr:row>
      <xdr:rowOff>113040</xdr:rowOff>
    </xdr:to>
    <xdr:sp>
      <xdr:nvSpPr>
        <xdr:cNvPr id="4" name="Horizontal line 4"/>
        <xdr:cNvSpPr/>
      </xdr:nvSpPr>
      <xdr:spPr>
        <a:xfrm flipH="1">
          <a:off x="880200" y="4104720"/>
          <a:ext cx="1503360" cy="0"/>
        </a:xfrm>
        <a:prstGeom prst="line">
          <a:avLst/>
        </a:prstGeom>
        <a:ln w="54720">
          <a:solidFill>
            <a:srgbClr val="3465a4"/>
          </a:solidFill>
          <a:round/>
          <a:tailEnd len="med" type="triangle" w="med"/>
        </a:ln>
      </xdr:spPr>
      <xdr:style>
        <a:lnRef idx="0"/>
        <a:fillRef idx="0"/>
        <a:effectRef idx="0"/>
        <a:fontRef idx="minor"/>
      </xdr:style>
    </xdr:sp>
    <xdr:clientData/>
  </xdr:twoCellAnchor>
  <xdr:twoCellAnchor editAs="absolute">
    <xdr:from>
      <xdr:col>1</xdr:col>
      <xdr:colOff>690480</xdr:colOff>
      <xdr:row>29</xdr:row>
      <xdr:rowOff>28080</xdr:rowOff>
    </xdr:from>
    <xdr:to>
      <xdr:col>6</xdr:col>
      <xdr:colOff>1259640</xdr:colOff>
      <xdr:row>46</xdr:row>
      <xdr:rowOff>123480</xdr:rowOff>
    </xdr:to>
    <xdr:pic>
      <xdr:nvPicPr>
        <xdr:cNvPr id="5" name="Image 8" descr=""/>
        <xdr:cNvPicPr/>
      </xdr:nvPicPr>
      <xdr:blipFill>
        <a:blip r:embed="rId2">
          <a:biLevel thresh="50000"/>
        </a:blip>
        <a:stretch/>
      </xdr:blipFill>
      <xdr:spPr>
        <a:xfrm>
          <a:off x="1297080" y="5421600"/>
          <a:ext cx="3476520" cy="3192480"/>
        </a:xfrm>
        <a:prstGeom prst="rect">
          <a:avLst/>
        </a:prstGeom>
        <a:ln w="0">
          <a:noFill/>
        </a:ln>
      </xdr:spPr>
    </xdr:pic>
    <xdr:clientData/>
  </xdr:twoCellAnchor>
  <xdr:twoCellAnchor editAs="absolute">
    <xdr:from>
      <xdr:col>16</xdr:col>
      <xdr:colOff>462600</xdr:colOff>
      <xdr:row>16</xdr:row>
      <xdr:rowOff>53280</xdr:rowOff>
    </xdr:from>
    <xdr:to>
      <xdr:col>20</xdr:col>
      <xdr:colOff>495720</xdr:colOff>
      <xdr:row>24</xdr:row>
      <xdr:rowOff>47160</xdr:rowOff>
    </xdr:to>
    <xdr:pic>
      <xdr:nvPicPr>
        <xdr:cNvPr id="6" name="Image 3" descr=""/>
        <xdr:cNvPicPr/>
      </xdr:nvPicPr>
      <xdr:blipFill>
        <a:blip r:embed="rId3"/>
        <a:stretch/>
      </xdr:blipFill>
      <xdr:spPr>
        <a:xfrm>
          <a:off x="13836240" y="3181320"/>
          <a:ext cx="2458800" cy="13831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6</xdr:col>
      <xdr:colOff>56520</xdr:colOff>
      <xdr:row>2</xdr:row>
      <xdr:rowOff>52560</xdr:rowOff>
    </xdr:from>
    <xdr:to>
      <xdr:col>10</xdr:col>
      <xdr:colOff>96480</xdr:colOff>
      <xdr:row>5</xdr:row>
      <xdr:rowOff>143280</xdr:rowOff>
    </xdr:to>
    <xdr:pic>
      <xdr:nvPicPr>
        <xdr:cNvPr id="7" name="Image 2" descr=""/>
        <xdr:cNvPicPr/>
      </xdr:nvPicPr>
      <xdr:blipFill>
        <a:blip r:embed="rId1"/>
        <a:stretch/>
      </xdr:blipFill>
      <xdr:spPr>
        <a:xfrm>
          <a:off x="3570480" y="376560"/>
          <a:ext cx="5861160" cy="576360"/>
        </a:xfrm>
        <a:prstGeom prst="rect">
          <a:avLst/>
        </a:prstGeom>
        <a:ln w="0">
          <a:noFill/>
        </a:ln>
      </xdr:spPr>
    </xdr:pic>
    <xdr:clientData/>
  </xdr:twoCellAnchor>
  <xdr:twoCellAnchor editAs="absolute">
    <xdr:from>
      <xdr:col>1</xdr:col>
      <xdr:colOff>260640</xdr:colOff>
      <xdr:row>17</xdr:row>
      <xdr:rowOff>87480</xdr:rowOff>
    </xdr:from>
    <xdr:to>
      <xdr:col>1</xdr:col>
      <xdr:colOff>1764000</xdr:colOff>
      <xdr:row>17</xdr:row>
      <xdr:rowOff>87480</xdr:rowOff>
    </xdr:to>
    <xdr:sp>
      <xdr:nvSpPr>
        <xdr:cNvPr id="8" name="Horizontal line 1"/>
        <xdr:cNvSpPr/>
      </xdr:nvSpPr>
      <xdr:spPr>
        <a:xfrm>
          <a:off x="867240" y="2897280"/>
          <a:ext cx="1503360" cy="0"/>
        </a:xfrm>
        <a:prstGeom prst="line">
          <a:avLst/>
        </a:prstGeom>
        <a:ln w="54720">
          <a:solidFill>
            <a:srgbClr val="ff0000"/>
          </a:solidFill>
          <a:round/>
          <a:tailEnd len="med" type="triangle" w="med"/>
        </a:ln>
      </xdr:spPr>
      <xdr:style>
        <a:lnRef idx="0"/>
        <a:fillRef idx="0"/>
        <a:effectRef idx="0"/>
        <a:fontRef idx="minor"/>
      </xdr:style>
    </xdr:sp>
    <xdr:clientData/>
  </xdr:twoCellAnchor>
  <xdr:twoCellAnchor editAs="absolute">
    <xdr:from>
      <xdr:col>6</xdr:col>
      <xdr:colOff>65520</xdr:colOff>
      <xdr:row>17</xdr:row>
      <xdr:rowOff>65880</xdr:rowOff>
    </xdr:from>
    <xdr:to>
      <xdr:col>6</xdr:col>
      <xdr:colOff>1568880</xdr:colOff>
      <xdr:row>17</xdr:row>
      <xdr:rowOff>65880</xdr:rowOff>
    </xdr:to>
    <xdr:sp>
      <xdr:nvSpPr>
        <xdr:cNvPr id="9" name="Horizontal line 2"/>
        <xdr:cNvSpPr/>
      </xdr:nvSpPr>
      <xdr:spPr>
        <a:xfrm>
          <a:off x="3579480" y="2875680"/>
          <a:ext cx="1503360" cy="0"/>
        </a:xfrm>
        <a:prstGeom prst="line">
          <a:avLst/>
        </a:prstGeom>
        <a:ln w="54720">
          <a:solidFill>
            <a:srgbClr val="ff0000"/>
          </a:solidFill>
          <a:round/>
          <a:tailEnd len="med" type="triangle" w="med"/>
        </a:ln>
      </xdr:spPr>
      <xdr:style>
        <a:lnRef idx="0"/>
        <a:fillRef idx="0"/>
        <a:effectRef idx="0"/>
        <a:fontRef idx="minor"/>
      </xdr:style>
    </xdr:sp>
    <xdr:clientData/>
  </xdr:twoCellAnchor>
  <xdr:twoCellAnchor editAs="absolute">
    <xdr:from>
      <xdr:col>6</xdr:col>
      <xdr:colOff>30960</xdr:colOff>
      <xdr:row>24</xdr:row>
      <xdr:rowOff>78120</xdr:rowOff>
    </xdr:from>
    <xdr:to>
      <xdr:col>6</xdr:col>
      <xdr:colOff>1534320</xdr:colOff>
      <xdr:row>24</xdr:row>
      <xdr:rowOff>78120</xdr:rowOff>
    </xdr:to>
    <xdr:sp>
      <xdr:nvSpPr>
        <xdr:cNvPr id="10" name="Horizontal line 3"/>
        <xdr:cNvSpPr/>
      </xdr:nvSpPr>
      <xdr:spPr>
        <a:xfrm flipH="1">
          <a:off x="3544920" y="4114800"/>
          <a:ext cx="1503360" cy="0"/>
        </a:xfrm>
        <a:prstGeom prst="line">
          <a:avLst/>
        </a:prstGeom>
        <a:ln w="54720">
          <a:solidFill>
            <a:srgbClr val="3465a4"/>
          </a:solidFill>
          <a:round/>
          <a:tailEnd len="med" type="triangle" w="med"/>
        </a:ln>
      </xdr:spPr>
      <xdr:style>
        <a:lnRef idx="0"/>
        <a:fillRef idx="0"/>
        <a:effectRef idx="0"/>
        <a:fontRef idx="minor"/>
      </xdr:style>
    </xdr:sp>
    <xdr:clientData/>
  </xdr:twoCellAnchor>
  <xdr:twoCellAnchor editAs="absolute">
    <xdr:from>
      <xdr:col>1</xdr:col>
      <xdr:colOff>273600</xdr:colOff>
      <xdr:row>24</xdr:row>
      <xdr:rowOff>68040</xdr:rowOff>
    </xdr:from>
    <xdr:to>
      <xdr:col>1</xdr:col>
      <xdr:colOff>1776960</xdr:colOff>
      <xdr:row>24</xdr:row>
      <xdr:rowOff>68040</xdr:rowOff>
    </xdr:to>
    <xdr:sp>
      <xdr:nvSpPr>
        <xdr:cNvPr id="11" name="Horizontal line 4"/>
        <xdr:cNvSpPr/>
      </xdr:nvSpPr>
      <xdr:spPr>
        <a:xfrm flipH="1">
          <a:off x="880200" y="4104720"/>
          <a:ext cx="1503360" cy="0"/>
        </a:xfrm>
        <a:prstGeom prst="line">
          <a:avLst/>
        </a:prstGeom>
        <a:ln w="54720">
          <a:solidFill>
            <a:srgbClr val="3465a4"/>
          </a:solidFill>
          <a:round/>
          <a:tailEnd len="med" type="triangle" w="med"/>
        </a:ln>
      </xdr:spPr>
      <xdr:style>
        <a:lnRef idx="0"/>
        <a:fillRef idx="0"/>
        <a:effectRef idx="0"/>
        <a:fontRef idx="minor"/>
      </xdr:style>
    </xdr:sp>
    <xdr:clientData/>
  </xdr:twoCellAnchor>
  <xdr:twoCellAnchor editAs="absolute">
    <xdr:from>
      <xdr:col>1</xdr:col>
      <xdr:colOff>690480</xdr:colOff>
      <xdr:row>31</xdr:row>
      <xdr:rowOff>158040</xdr:rowOff>
    </xdr:from>
    <xdr:to>
      <xdr:col>6</xdr:col>
      <xdr:colOff>1259640</xdr:colOff>
      <xdr:row>49</xdr:row>
      <xdr:rowOff>78480</xdr:rowOff>
    </xdr:to>
    <xdr:pic>
      <xdr:nvPicPr>
        <xdr:cNvPr id="12" name="Image 8" descr=""/>
        <xdr:cNvPicPr/>
      </xdr:nvPicPr>
      <xdr:blipFill>
        <a:blip r:embed="rId2">
          <a:biLevel thresh="50000"/>
        </a:blip>
        <a:stretch/>
      </xdr:blipFill>
      <xdr:spPr>
        <a:xfrm>
          <a:off x="1297080" y="5421600"/>
          <a:ext cx="3476520" cy="3192480"/>
        </a:xfrm>
        <a:prstGeom prst="rect">
          <a:avLst/>
        </a:prstGeom>
        <a:ln w="0">
          <a:noFill/>
        </a:ln>
      </xdr:spPr>
    </xdr:pic>
    <xdr:clientData/>
  </xdr:twoCellAnchor>
  <xdr:twoCellAnchor editAs="absolute">
    <xdr:from>
      <xdr:col>16</xdr:col>
      <xdr:colOff>462600</xdr:colOff>
      <xdr:row>19</xdr:row>
      <xdr:rowOff>20880</xdr:rowOff>
    </xdr:from>
    <xdr:to>
      <xdr:col>20</xdr:col>
      <xdr:colOff>495720</xdr:colOff>
      <xdr:row>27</xdr:row>
      <xdr:rowOff>1800</xdr:rowOff>
    </xdr:to>
    <xdr:pic>
      <xdr:nvPicPr>
        <xdr:cNvPr id="13" name="Image 3" descr=""/>
        <xdr:cNvPicPr/>
      </xdr:nvPicPr>
      <xdr:blipFill>
        <a:blip r:embed="rId3"/>
        <a:stretch/>
      </xdr:blipFill>
      <xdr:spPr>
        <a:xfrm>
          <a:off x="13836240" y="3181320"/>
          <a:ext cx="2458800" cy="13831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7</xdr:col>
      <xdr:colOff>475200</xdr:colOff>
      <xdr:row>53</xdr:row>
      <xdr:rowOff>73800</xdr:rowOff>
    </xdr:from>
    <xdr:to>
      <xdr:col>17</xdr:col>
      <xdr:colOff>705960</xdr:colOff>
      <xdr:row>92</xdr:row>
      <xdr:rowOff>35280</xdr:rowOff>
    </xdr:to>
    <xdr:pic>
      <xdr:nvPicPr>
        <xdr:cNvPr id="14" name="Image 5" descr=""/>
        <xdr:cNvPicPr/>
      </xdr:nvPicPr>
      <xdr:blipFill>
        <a:blip r:embed="rId1"/>
        <a:stretch/>
      </xdr:blipFill>
      <xdr:spPr>
        <a:xfrm>
          <a:off x="7326720" y="8778240"/>
          <a:ext cx="8371440" cy="6301440"/>
        </a:xfrm>
        <a:prstGeom prst="rect">
          <a:avLst/>
        </a:prstGeom>
        <a:ln w="0">
          <a:noFill/>
        </a:ln>
      </xdr:spPr>
    </xdr:pic>
    <xdr:clientData/>
  </xdr:twoCellAnchor>
  <xdr:twoCellAnchor editAs="absolute">
    <xdr:from>
      <xdr:col>7</xdr:col>
      <xdr:colOff>475200</xdr:colOff>
      <xdr:row>94</xdr:row>
      <xdr:rowOff>73800</xdr:rowOff>
    </xdr:from>
    <xdr:to>
      <xdr:col>15</xdr:col>
      <xdr:colOff>654840</xdr:colOff>
      <xdr:row>122</xdr:row>
      <xdr:rowOff>32400</xdr:rowOff>
    </xdr:to>
    <xdr:pic>
      <xdr:nvPicPr>
        <xdr:cNvPr id="15" name="Image 6" descr=""/>
        <xdr:cNvPicPr/>
      </xdr:nvPicPr>
      <xdr:blipFill>
        <a:blip r:embed="rId2"/>
        <a:stretch/>
      </xdr:blipFill>
      <xdr:spPr>
        <a:xfrm>
          <a:off x="7326720" y="15443280"/>
          <a:ext cx="6692400" cy="4510440"/>
        </a:xfrm>
        <a:prstGeom prst="rect">
          <a:avLst/>
        </a:prstGeom>
        <a:ln w="0">
          <a:noFill/>
        </a:ln>
      </xdr:spPr>
    </xdr:pic>
    <xdr:clientData/>
  </xdr:twoCellAnchor>
  <xdr:twoCellAnchor editAs="absolute">
    <xdr:from>
      <xdr:col>7</xdr:col>
      <xdr:colOff>383400</xdr:colOff>
      <xdr:row>1</xdr:row>
      <xdr:rowOff>141840</xdr:rowOff>
    </xdr:from>
    <xdr:to>
      <xdr:col>15</xdr:col>
      <xdr:colOff>603000</xdr:colOff>
      <xdr:row>39</xdr:row>
      <xdr:rowOff>57960</xdr:rowOff>
    </xdr:to>
    <xdr:pic>
      <xdr:nvPicPr>
        <xdr:cNvPr id="16" name="Image 4" descr=""/>
        <xdr:cNvPicPr/>
      </xdr:nvPicPr>
      <xdr:blipFill>
        <a:blip r:embed="rId3">
          <a:biLevel thresh="50000"/>
        </a:blip>
        <a:stretch/>
      </xdr:blipFill>
      <xdr:spPr>
        <a:xfrm>
          <a:off x="7234920" y="304560"/>
          <a:ext cx="6732360" cy="618228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286200</xdr:colOff>
      <xdr:row>4</xdr:row>
      <xdr:rowOff>77040</xdr:rowOff>
    </xdr:from>
    <xdr:to>
      <xdr:col>6</xdr:col>
      <xdr:colOff>277200</xdr:colOff>
      <xdr:row>57</xdr:row>
      <xdr:rowOff>29880</xdr:rowOff>
    </xdr:to>
    <xdr:pic>
      <xdr:nvPicPr>
        <xdr:cNvPr id="17" name="Image 1" descr=""/>
        <xdr:cNvPicPr/>
      </xdr:nvPicPr>
      <xdr:blipFill>
        <a:blip r:embed="rId1"/>
        <a:srcRect l="0" t="8350" r="0" b="0"/>
        <a:stretch/>
      </xdr:blipFill>
      <xdr:spPr>
        <a:xfrm>
          <a:off x="286200" y="724680"/>
          <a:ext cx="6782400" cy="8535600"/>
        </a:xfrm>
        <a:prstGeom prst="rect">
          <a:avLst/>
        </a:prstGeom>
        <a:ln w="0">
          <a:noFill/>
        </a:ln>
      </xdr:spPr>
    </xdr:pic>
    <xdr:clientData/>
  </xdr:twoCellAnchor>
  <xdr:twoCellAnchor editAs="absolute">
    <xdr:from>
      <xdr:col>7</xdr:col>
      <xdr:colOff>0</xdr:colOff>
      <xdr:row>6</xdr:row>
      <xdr:rowOff>0</xdr:rowOff>
    </xdr:from>
    <xdr:to>
      <xdr:col>15</xdr:col>
      <xdr:colOff>3240</xdr:colOff>
      <xdr:row>53</xdr:row>
      <xdr:rowOff>137520</xdr:rowOff>
    </xdr:to>
    <xdr:pic>
      <xdr:nvPicPr>
        <xdr:cNvPr id="18" name="Image 7" descr=""/>
        <xdr:cNvPicPr/>
      </xdr:nvPicPr>
      <xdr:blipFill>
        <a:blip r:embed="rId2"/>
        <a:stretch/>
      </xdr:blipFill>
      <xdr:spPr>
        <a:xfrm>
          <a:off x="8454240" y="971640"/>
          <a:ext cx="6581880" cy="77486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1048576"/>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O16" activeCellId="0" sqref="O16"/>
    </sheetView>
  </sheetViews>
  <sheetFormatPr defaultColWidth="8.60546875" defaultRowHeight="12.75" zeroHeight="false" outlineLevelRow="0" outlineLevelCol="0"/>
  <cols>
    <col collapsed="false" customWidth="false" hidden="false" outlineLevel="0" max="1" min="1" style="1" width="8.6"/>
    <col collapsed="false" customWidth="true" hidden="false" outlineLevel="0" max="2" min="2" style="1" width="26"/>
    <col collapsed="false" customWidth="true" hidden="false" outlineLevel="0" max="4" min="3" style="1" width="4.03"/>
    <col collapsed="false" customWidth="true" hidden="false" outlineLevel="0" max="5" min="5" style="1" width="3.71"/>
    <col collapsed="false" customWidth="true" hidden="false" outlineLevel="0" max="6" min="6" style="1" width="3.44"/>
    <col collapsed="false" customWidth="true" hidden="false" outlineLevel="0" max="7" min="7" style="1" width="26.59"/>
    <col collapsed="false" customWidth="true" hidden="false" outlineLevel="0" max="8" min="8" style="1" width="4.03"/>
    <col collapsed="false" customWidth="true" hidden="false" outlineLevel="0" max="9" min="9" style="1" width="40.57"/>
    <col collapsed="false" customWidth="true" hidden="false" outlineLevel="0" max="10" min="10" style="1" width="11.3"/>
    <col collapsed="false" customWidth="true" hidden="false" outlineLevel="0" max="11" min="11" style="1" width="12.57"/>
    <col collapsed="false" customWidth="true" hidden="false" outlineLevel="0" max="12" min="12" style="1" width="10.29"/>
    <col collapsed="false" customWidth="false" hidden="false" outlineLevel="0" max="1024" min="13" style="1" width="8.6"/>
  </cols>
  <sheetData>
    <row r="1" s="2" customFormat="true" ht="12.75" hidden="false" customHeight="false" outlineLevel="0" collapsed="false">
      <c r="A1" s="2" t="s">
        <v>0</v>
      </c>
      <c r="ALV1" s="1"/>
      <c r="ALW1" s="1"/>
      <c r="ALX1" s="1"/>
      <c r="ALY1" s="1"/>
      <c r="ALZ1" s="1"/>
      <c r="AMA1" s="1"/>
      <c r="AMB1" s="1"/>
      <c r="AMC1" s="1"/>
      <c r="AMD1" s="1"/>
      <c r="AME1" s="1"/>
      <c r="AMF1" s="1"/>
      <c r="AMG1" s="1"/>
      <c r="AMH1" s="1"/>
      <c r="AMI1" s="1"/>
      <c r="AMJ1" s="1"/>
    </row>
    <row r="3" customFormat="false" ht="12.75" hidden="false" customHeight="false" outlineLevel="0" collapsed="false">
      <c r="B3" s="3"/>
      <c r="C3" s="3"/>
      <c r="D3" s="3"/>
      <c r="E3" s="3"/>
      <c r="F3" s="3"/>
      <c r="G3" s="3"/>
      <c r="H3" s="3"/>
      <c r="I3" s="3"/>
      <c r="J3" s="3"/>
      <c r="K3" s="3"/>
      <c r="L3" s="3"/>
      <c r="M3" s="3"/>
      <c r="N3" s="3"/>
      <c r="O3" s="3"/>
    </row>
    <row r="4" customFormat="false" ht="12.75" hidden="false" customHeight="false" outlineLevel="0" collapsed="false">
      <c r="B4" s="3"/>
      <c r="C4" s="3"/>
      <c r="D4" s="3"/>
      <c r="E4" s="3"/>
      <c r="F4" s="3"/>
      <c r="G4" s="3"/>
      <c r="H4" s="3"/>
      <c r="I4" s="3"/>
      <c r="J4" s="3"/>
      <c r="K4" s="3"/>
      <c r="L4" s="3"/>
      <c r="M4" s="3"/>
      <c r="N4" s="3"/>
      <c r="O4" s="3"/>
    </row>
    <row r="5" customFormat="false" ht="12.75" hidden="false" customHeight="false" outlineLevel="0" collapsed="false">
      <c r="B5" s="3"/>
      <c r="C5" s="3"/>
      <c r="D5" s="3"/>
      <c r="E5" s="3"/>
      <c r="F5" s="3"/>
      <c r="G5" s="3"/>
      <c r="H5" s="3"/>
      <c r="I5" s="3"/>
      <c r="J5" s="3"/>
      <c r="K5" s="3"/>
      <c r="L5" s="3"/>
      <c r="M5" s="3"/>
      <c r="N5" s="3"/>
      <c r="O5" s="3"/>
    </row>
    <row r="6" customFormat="false" ht="12.75" hidden="false" customHeight="false" outlineLevel="0" collapsed="false">
      <c r="B6" s="3"/>
      <c r="C6" s="3"/>
      <c r="D6" s="3"/>
      <c r="E6" s="3"/>
      <c r="F6" s="3"/>
      <c r="G6" s="3"/>
      <c r="H6" s="3"/>
      <c r="I6" s="3"/>
      <c r="J6" s="3"/>
      <c r="K6" s="3"/>
      <c r="L6" s="3"/>
      <c r="M6" s="3"/>
      <c r="N6" s="3"/>
      <c r="O6" s="3"/>
    </row>
    <row r="7" customFormat="false" ht="12.75" hidden="false" customHeight="true" outlineLevel="0" collapsed="false">
      <c r="B7" s="4" t="s">
        <v>1</v>
      </c>
      <c r="C7" s="4"/>
      <c r="D7" s="4"/>
      <c r="E7" s="4"/>
      <c r="F7" s="4"/>
      <c r="G7" s="4"/>
      <c r="H7" s="4"/>
      <c r="I7" s="4"/>
      <c r="J7" s="4"/>
      <c r="K7" s="4"/>
      <c r="L7" s="4"/>
      <c r="M7" s="4"/>
      <c r="N7" s="4"/>
      <c r="O7" s="4"/>
    </row>
    <row r="8" customFormat="false" ht="12.8" hidden="false" customHeight="false" outlineLevel="0" collapsed="false">
      <c r="B8" s="4"/>
      <c r="C8" s="4"/>
      <c r="D8" s="4"/>
      <c r="E8" s="4"/>
      <c r="F8" s="4"/>
      <c r="G8" s="4"/>
      <c r="H8" s="4"/>
      <c r="I8" s="4"/>
      <c r="J8" s="4"/>
      <c r="K8" s="4"/>
      <c r="L8" s="4"/>
      <c r="M8" s="4"/>
      <c r="N8" s="4"/>
      <c r="O8" s="4"/>
    </row>
    <row r="9" customFormat="false" ht="12.8" hidden="false" customHeight="false" outlineLevel="0" collapsed="false">
      <c r="B9" s="4"/>
      <c r="C9" s="4"/>
      <c r="D9" s="4"/>
      <c r="E9" s="4"/>
      <c r="F9" s="4"/>
      <c r="G9" s="4"/>
      <c r="H9" s="4"/>
      <c r="I9" s="4"/>
      <c r="J9" s="4"/>
      <c r="K9" s="4"/>
      <c r="L9" s="4"/>
      <c r="M9" s="4"/>
      <c r="N9" s="4"/>
      <c r="O9" s="4"/>
    </row>
    <row r="10" customFormat="false" ht="12.8" hidden="false" customHeight="false" outlineLevel="0" collapsed="false">
      <c r="B10" s="4"/>
      <c r="C10" s="4"/>
      <c r="D10" s="4"/>
      <c r="E10" s="4"/>
      <c r="F10" s="4"/>
      <c r="G10" s="4"/>
      <c r="H10" s="4"/>
      <c r="I10" s="4"/>
      <c r="J10" s="4"/>
      <c r="K10" s="4"/>
      <c r="L10" s="4"/>
      <c r="M10" s="4"/>
      <c r="N10" s="4"/>
      <c r="O10" s="4"/>
    </row>
    <row r="11" customFormat="false" ht="31.6" hidden="false" customHeight="true" outlineLevel="0" collapsed="false">
      <c r="B11" s="5" t="s">
        <v>2</v>
      </c>
      <c r="C11" s="5"/>
      <c r="D11" s="5"/>
      <c r="E11" s="5"/>
      <c r="F11" s="5"/>
      <c r="G11" s="5"/>
      <c r="H11" s="5"/>
      <c r="I11" s="5"/>
      <c r="J11" s="5"/>
      <c r="K11" s="5"/>
      <c r="L11" s="5"/>
      <c r="M11" s="5"/>
      <c r="N11" s="5"/>
      <c r="O11" s="5"/>
    </row>
    <row r="12" customFormat="false" ht="33.85" hidden="false" customHeight="true" outlineLevel="0" collapsed="false">
      <c r="B12" s="5"/>
      <c r="C12" s="5"/>
      <c r="D12" s="5"/>
      <c r="E12" s="5"/>
      <c r="F12" s="5"/>
      <c r="G12" s="5"/>
      <c r="H12" s="5"/>
      <c r="I12" s="5"/>
      <c r="J12" s="5"/>
      <c r="K12" s="5"/>
      <c r="L12" s="5"/>
      <c r="M12" s="5"/>
      <c r="N12" s="5"/>
      <c r="O12" s="5"/>
    </row>
    <row r="13" customFormat="false" ht="12.8" hidden="false" customHeight="false" outlineLevel="0" collapsed="false"/>
    <row r="14" customFormat="false" ht="12.8" hidden="false" customHeight="false" outlineLevel="0" collapsed="false"/>
    <row r="15" customFormat="false" ht="13.8" hidden="false" customHeight="false" outlineLevel="0" collapsed="false">
      <c r="B15" s="6" t="s">
        <v>3</v>
      </c>
      <c r="C15" s="7"/>
      <c r="D15" s="7"/>
      <c r="E15" s="7"/>
      <c r="F15" s="7"/>
      <c r="G15" s="7"/>
      <c r="I15" s="8" t="s">
        <v>4</v>
      </c>
      <c r="J15" s="8"/>
      <c r="K15" s="8"/>
      <c r="L15" s="8"/>
      <c r="Q15" s="9" t="s">
        <v>5</v>
      </c>
      <c r="R15" s="9"/>
      <c r="S15" s="9"/>
      <c r="T15" s="9"/>
      <c r="U15" s="9"/>
      <c r="V15" s="9"/>
    </row>
    <row r="16" customFormat="false" ht="13.8" hidden="false" customHeight="true" outlineLevel="0" collapsed="false">
      <c r="B16" s="10" t="s">
        <v>6</v>
      </c>
      <c r="I16" s="11" t="s">
        <v>7</v>
      </c>
      <c r="J16" s="11"/>
      <c r="K16" s="11"/>
      <c r="L16" s="11"/>
      <c r="Q16" s="12" t="s">
        <v>8</v>
      </c>
      <c r="R16" s="12"/>
      <c r="S16" s="12"/>
      <c r="T16" s="12"/>
      <c r="U16" s="12"/>
      <c r="V16" s="12"/>
    </row>
    <row r="17" customFormat="false" ht="12.8" hidden="false" customHeight="false" outlineLevel="0" collapsed="false">
      <c r="I17" s="13" t="s">
        <v>9</v>
      </c>
      <c r="J17" s="13"/>
      <c r="K17" s="13"/>
      <c r="L17" s="13"/>
      <c r="Q17" s="12"/>
      <c r="R17" s="12"/>
      <c r="S17" s="12"/>
      <c r="T17" s="12"/>
      <c r="U17" s="12"/>
      <c r="V17" s="12"/>
    </row>
    <row r="18" customFormat="false" ht="13.8" hidden="false" customHeight="false" outlineLevel="0" collapsed="false">
      <c r="I18" s="14" t="s">
        <v>10</v>
      </c>
      <c r="J18" s="15"/>
      <c r="K18" s="16" t="s">
        <v>11</v>
      </c>
      <c r="L18" s="15"/>
      <c r="Q18" s="12"/>
      <c r="R18" s="12"/>
      <c r="S18" s="12"/>
      <c r="T18" s="12"/>
      <c r="U18" s="12"/>
      <c r="V18" s="12"/>
    </row>
    <row r="19" customFormat="false" ht="13.8" hidden="false" customHeight="false" outlineLevel="0" collapsed="false">
      <c r="I19" s="14" t="s">
        <v>12</v>
      </c>
      <c r="J19" s="15" t="s">
        <v>13</v>
      </c>
      <c r="K19" s="16" t="n">
        <f aca="false">140*3600</f>
        <v>504000</v>
      </c>
      <c r="L19" s="15" t="s">
        <v>14</v>
      </c>
      <c r="Q19" s="12"/>
      <c r="R19" s="12"/>
      <c r="S19" s="12"/>
      <c r="T19" s="12"/>
      <c r="U19" s="12"/>
      <c r="V19" s="12"/>
    </row>
    <row r="20" customFormat="false" ht="13.8" hidden="false" customHeight="false" outlineLevel="0" collapsed="false">
      <c r="C20" s="17"/>
      <c r="D20" s="18"/>
      <c r="E20" s="18"/>
      <c r="F20" s="19"/>
      <c r="I20" s="14" t="s">
        <v>15</v>
      </c>
      <c r="J20" s="15" t="s">
        <v>16</v>
      </c>
      <c r="K20" s="16" t="n">
        <v>985</v>
      </c>
      <c r="L20" s="15" t="s">
        <v>17</v>
      </c>
      <c r="Q20" s="20"/>
      <c r="V20" s="21"/>
    </row>
    <row r="21" customFormat="false" ht="13.8" hidden="false" customHeight="false" outlineLevel="0" collapsed="false">
      <c r="B21" s="1" t="s">
        <v>18</v>
      </c>
      <c r="C21" s="22"/>
      <c r="D21" s="23"/>
      <c r="E21" s="23"/>
      <c r="F21" s="24"/>
      <c r="G21" s="1" t="s">
        <v>19</v>
      </c>
      <c r="I21" s="14" t="s">
        <v>20</v>
      </c>
      <c r="J21" s="15" t="s">
        <v>21</v>
      </c>
      <c r="K21" s="16" t="n">
        <v>0.000509</v>
      </c>
      <c r="L21" s="15" t="s">
        <v>22</v>
      </c>
      <c r="Q21" s="20"/>
      <c r="V21" s="21"/>
    </row>
    <row r="22" customFormat="false" ht="13.8" hidden="false" customHeight="false" outlineLevel="0" collapsed="false">
      <c r="B22" s="10" t="n">
        <f aca="false">IF(K24="NA",K66,K24)</f>
        <v>65</v>
      </c>
      <c r="C22" s="22"/>
      <c r="D22" s="23"/>
      <c r="E22" s="23"/>
      <c r="F22" s="24"/>
      <c r="G22" s="10" t="n">
        <f aca="false">IF(K25="NA",K66,K25)</f>
        <v>45</v>
      </c>
      <c r="I22" s="14" t="s">
        <v>23</v>
      </c>
      <c r="J22" s="15" t="s">
        <v>24</v>
      </c>
      <c r="K22" s="16" t="n">
        <v>0.645</v>
      </c>
      <c r="L22" s="15" t="s">
        <v>25</v>
      </c>
      <c r="Q22" s="20"/>
      <c r="V22" s="21"/>
    </row>
    <row r="23" customFormat="false" ht="13.8" hidden="false" customHeight="false" outlineLevel="0" collapsed="false">
      <c r="C23" s="22"/>
      <c r="D23" s="23"/>
      <c r="E23" s="23"/>
      <c r="F23" s="24"/>
      <c r="I23" s="14" t="s">
        <v>26</v>
      </c>
      <c r="J23" s="15" t="s">
        <v>27</v>
      </c>
      <c r="K23" s="16" t="n">
        <v>4.183</v>
      </c>
      <c r="L23" s="15" t="s">
        <v>28</v>
      </c>
      <c r="Q23" s="20"/>
      <c r="V23" s="21"/>
    </row>
    <row r="24" customFormat="false" ht="13.8" hidden="false" customHeight="false" outlineLevel="0" collapsed="false">
      <c r="C24" s="22"/>
      <c r="D24" s="23"/>
      <c r="E24" s="23"/>
      <c r="F24" s="24"/>
      <c r="I24" s="14" t="s">
        <v>29</v>
      </c>
      <c r="J24" s="15" t="s">
        <v>30</v>
      </c>
      <c r="K24" s="16" t="n">
        <v>65</v>
      </c>
      <c r="L24" s="15" t="s">
        <v>31</v>
      </c>
      <c r="M24" s="1" t="n">
        <f aca="false">IF(K24="NA",1,0)</f>
        <v>0</v>
      </c>
      <c r="Q24" s="20"/>
      <c r="V24" s="21"/>
    </row>
    <row r="25" customFormat="false" ht="13.8" hidden="false" customHeight="false" outlineLevel="0" collapsed="false">
      <c r="C25" s="22"/>
      <c r="D25" s="23"/>
      <c r="E25" s="23"/>
      <c r="F25" s="24"/>
      <c r="I25" s="14" t="s">
        <v>32</v>
      </c>
      <c r="J25" s="15" t="s">
        <v>33</v>
      </c>
      <c r="K25" s="16" t="n">
        <v>45</v>
      </c>
      <c r="L25" s="15" t="s">
        <v>31</v>
      </c>
      <c r="M25" s="1" t="n">
        <f aca="false">IF(K25="NA",1,0)</f>
        <v>0</v>
      </c>
      <c r="Q25" s="20"/>
      <c r="V25" s="21"/>
    </row>
    <row r="26" customFormat="false" ht="13.8" hidden="false" customHeight="false" outlineLevel="0" collapsed="false">
      <c r="C26" s="22"/>
      <c r="D26" s="23"/>
      <c r="E26" s="23"/>
      <c r="F26" s="24"/>
      <c r="I26" s="25" t="s">
        <v>34</v>
      </c>
      <c r="J26" s="15"/>
      <c r="K26" s="16" t="s">
        <v>11</v>
      </c>
      <c r="L26" s="15"/>
      <c r="Q26" s="20"/>
      <c r="V26" s="21"/>
    </row>
    <row r="27" customFormat="false" ht="13.8" hidden="false" customHeight="false" outlineLevel="0" collapsed="false">
      <c r="C27" s="22"/>
      <c r="D27" s="23"/>
      <c r="E27" s="23"/>
      <c r="F27" s="24"/>
      <c r="I27" s="25" t="s">
        <v>35</v>
      </c>
      <c r="J27" s="15" t="s">
        <v>36</v>
      </c>
      <c r="K27" s="16" t="n">
        <f aca="false">140*3600</f>
        <v>504000</v>
      </c>
      <c r="L27" s="15" t="s">
        <v>14</v>
      </c>
      <c r="Q27" s="20"/>
      <c r="V27" s="21"/>
    </row>
    <row r="28" customFormat="false" ht="13.8" hidden="false" customHeight="true" outlineLevel="0" collapsed="false">
      <c r="B28" s="1" t="s">
        <v>37</v>
      </c>
      <c r="C28" s="26"/>
      <c r="D28" s="27"/>
      <c r="E28" s="27"/>
      <c r="F28" s="28"/>
      <c r="G28" s="1" t="s">
        <v>38</v>
      </c>
      <c r="I28" s="25" t="s">
        <v>39</v>
      </c>
      <c r="J28" s="15" t="s">
        <v>40</v>
      </c>
      <c r="K28" s="16" t="n">
        <v>995</v>
      </c>
      <c r="L28" s="15" t="s">
        <v>17</v>
      </c>
      <c r="Q28" s="20"/>
      <c r="V28" s="21"/>
    </row>
    <row r="29" customFormat="false" ht="13.8" hidden="false" customHeight="false" outlineLevel="0" collapsed="false">
      <c r="B29" s="29" t="n">
        <f aca="false">IF(K33="NA",K66,K33)</f>
        <v>42.0239348970799</v>
      </c>
      <c r="G29" s="10" t="n">
        <f aca="false">IF(K32="NA",K66,K32)</f>
        <v>22</v>
      </c>
      <c r="I29" s="25" t="s">
        <v>41</v>
      </c>
      <c r="J29" s="15" t="s">
        <v>42</v>
      </c>
      <c r="K29" s="16" t="n">
        <v>0.000766</v>
      </c>
      <c r="L29" s="15" t="s">
        <v>22</v>
      </c>
      <c r="Q29" s="20"/>
      <c r="V29" s="21"/>
    </row>
    <row r="30" customFormat="false" ht="13.8" hidden="false" customHeight="false" outlineLevel="0" collapsed="false">
      <c r="I30" s="25" t="s">
        <v>43</v>
      </c>
      <c r="J30" s="15" t="s">
        <v>44</v>
      </c>
      <c r="K30" s="16" t="n">
        <v>0.617</v>
      </c>
      <c r="L30" s="15" t="s">
        <v>45</v>
      </c>
      <c r="Q30" s="30"/>
      <c r="R30" s="31"/>
      <c r="S30" s="31"/>
      <c r="T30" s="31"/>
      <c r="U30" s="31"/>
      <c r="V30" s="32"/>
    </row>
    <row r="31" customFormat="false" ht="13.8" hidden="false" customHeight="false" outlineLevel="0" collapsed="false">
      <c r="I31" s="25" t="s">
        <v>46</v>
      </c>
      <c r="J31" s="15" t="s">
        <v>47</v>
      </c>
      <c r="K31" s="16" t="n">
        <v>4.178</v>
      </c>
      <c r="L31" s="15" t="s">
        <v>28</v>
      </c>
    </row>
    <row r="32" customFormat="false" ht="13.8" hidden="false" customHeight="false" outlineLevel="0" collapsed="false">
      <c r="I32" s="25" t="s">
        <v>48</v>
      </c>
      <c r="J32" s="15" t="s">
        <v>49</v>
      </c>
      <c r="K32" s="16" t="n">
        <v>22</v>
      </c>
      <c r="L32" s="15" t="s">
        <v>31</v>
      </c>
      <c r="M32" s="1" t="n">
        <f aca="false">IF(K32="NA",1,0)</f>
        <v>0</v>
      </c>
    </row>
    <row r="33" customFormat="false" ht="13.8" hidden="false" customHeight="false" outlineLevel="0" collapsed="false">
      <c r="I33" s="25" t="s">
        <v>50</v>
      </c>
      <c r="J33" s="15" t="s">
        <v>51</v>
      </c>
      <c r="K33" s="16" t="s">
        <v>52</v>
      </c>
      <c r="L33" s="15" t="s">
        <v>31</v>
      </c>
      <c r="M33" s="1" t="n">
        <f aca="false">IF(K33="NA",1,0)</f>
        <v>1</v>
      </c>
    </row>
    <row r="34" customFormat="false" ht="12.8" hidden="false" customHeight="false" outlineLevel="0" collapsed="false">
      <c r="I34" s="11" t="s">
        <v>53</v>
      </c>
      <c r="J34" s="11"/>
      <c r="K34" s="11"/>
      <c r="L34" s="11"/>
    </row>
    <row r="35" customFormat="false" ht="13.8" hidden="false" customHeight="false" outlineLevel="0" collapsed="false">
      <c r="B35" s="33"/>
      <c r="C35" s="34"/>
      <c r="D35" s="34"/>
      <c r="E35" s="34"/>
      <c r="F35" s="34"/>
      <c r="G35" s="34"/>
      <c r="H35" s="35"/>
      <c r="I35" s="15" t="s">
        <v>54</v>
      </c>
      <c r="J35" s="15"/>
      <c r="K35" s="16" t="s">
        <v>55</v>
      </c>
      <c r="L35" s="15"/>
    </row>
    <row r="36" customFormat="false" ht="13.8" hidden="false" customHeight="false" outlineLevel="0" collapsed="false">
      <c r="B36" s="20"/>
      <c r="H36" s="21"/>
      <c r="I36" s="15" t="s">
        <v>56</v>
      </c>
      <c r="J36" s="15" t="s">
        <v>57</v>
      </c>
      <c r="K36" s="36" t="n">
        <v>1</v>
      </c>
      <c r="L36" s="15"/>
    </row>
    <row r="37" customFormat="false" ht="13.8" hidden="false" customHeight="false" outlineLevel="0" collapsed="false">
      <c r="B37" s="20"/>
      <c r="H37" s="21"/>
      <c r="I37" s="15" t="s">
        <v>58</v>
      </c>
      <c r="J37" s="15"/>
      <c r="K37" s="16" t="s">
        <v>59</v>
      </c>
      <c r="L37" s="15"/>
    </row>
    <row r="38" customFormat="false" ht="13.8" hidden="false" customHeight="false" outlineLevel="0" collapsed="false">
      <c r="B38" s="20"/>
      <c r="H38" s="21"/>
      <c r="I38" s="15" t="s">
        <v>60</v>
      </c>
      <c r="J38" s="15" t="s">
        <v>61</v>
      </c>
      <c r="K38" s="16" t="n">
        <v>0.6</v>
      </c>
      <c r="L38" s="15" t="s">
        <v>62</v>
      </c>
    </row>
    <row r="39" customFormat="false" ht="13.8" hidden="false" customHeight="false" outlineLevel="0" collapsed="false">
      <c r="B39" s="20"/>
      <c r="H39" s="21"/>
      <c r="I39" s="15" t="s">
        <v>63</v>
      </c>
      <c r="J39" s="15" t="s">
        <v>64</v>
      </c>
      <c r="K39" s="16" t="n">
        <v>45</v>
      </c>
      <c r="L39" s="15" t="s">
        <v>65</v>
      </c>
    </row>
    <row r="40" customFormat="false" ht="13.8" hidden="false" customHeight="false" outlineLevel="0" collapsed="false">
      <c r="B40" s="20"/>
      <c r="H40" s="21"/>
      <c r="I40" s="15" t="s">
        <v>66</v>
      </c>
      <c r="J40" s="15" t="s">
        <v>67</v>
      </c>
      <c r="K40" s="16" t="n">
        <v>17.5</v>
      </c>
      <c r="L40" s="15" t="s">
        <v>68</v>
      </c>
    </row>
    <row r="41" customFormat="false" ht="24.05" hidden="false" customHeight="false" outlineLevel="0" collapsed="false">
      <c r="B41" s="20"/>
      <c r="H41" s="21"/>
      <c r="I41" s="37" t="s">
        <v>69</v>
      </c>
      <c r="J41" s="15" t="s">
        <v>70</v>
      </c>
      <c r="K41" s="16" t="n">
        <v>1.06</v>
      </c>
      <c r="L41" s="15" t="s">
        <v>71</v>
      </c>
    </row>
    <row r="42" customFormat="false" ht="13.8" hidden="false" customHeight="false" outlineLevel="0" collapsed="false">
      <c r="B42" s="20"/>
      <c r="H42" s="21"/>
      <c r="I42" s="15" t="s">
        <v>72</v>
      </c>
      <c r="J42" s="15" t="s">
        <v>73</v>
      </c>
      <c r="K42" s="16" t="n">
        <v>0.85</v>
      </c>
      <c r="L42" s="15" t="s">
        <v>71</v>
      </c>
    </row>
    <row r="43" customFormat="false" ht="13.8" hidden="false" customHeight="false" outlineLevel="0" collapsed="false">
      <c r="B43" s="20"/>
      <c r="H43" s="21"/>
      <c r="I43" s="15" t="s">
        <v>74</v>
      </c>
      <c r="J43" s="38" t="s">
        <v>75</v>
      </c>
      <c r="K43" s="39" t="n">
        <f aca="false">K41/K42</f>
        <v>1.24705882352941</v>
      </c>
      <c r="L43" s="15" t="s">
        <v>76</v>
      </c>
    </row>
    <row r="44" customFormat="false" ht="13.8" hidden="false" customHeight="false" outlineLevel="0" collapsed="false">
      <c r="B44" s="20"/>
      <c r="H44" s="21"/>
      <c r="I44" s="15" t="s">
        <v>77</v>
      </c>
      <c r="J44" s="15"/>
      <c r="K44" s="39" t="str">
        <f aca="false">IF(K43&lt;1.15,"Factor may be incorrect",IF(K43&gt;1.25,"Factor may be incorrect","Ok"))</f>
        <v>Ok</v>
      </c>
      <c r="L44" s="15" t="s">
        <v>76</v>
      </c>
    </row>
    <row r="45" customFormat="false" ht="13.8" hidden="false" customHeight="false" outlineLevel="0" collapsed="false">
      <c r="B45" s="20"/>
      <c r="H45" s="21"/>
      <c r="I45" s="15" t="s">
        <v>78</v>
      </c>
      <c r="J45" s="15" t="s">
        <v>79</v>
      </c>
      <c r="K45" s="16" t="n">
        <v>1.55</v>
      </c>
      <c r="L45" s="15" t="s">
        <v>80</v>
      </c>
    </row>
    <row r="46" customFormat="false" ht="13.8" hidden="false" customHeight="false" outlineLevel="0" collapsed="false">
      <c r="B46" s="20"/>
      <c r="H46" s="21"/>
      <c r="I46" s="15" t="s">
        <v>81</v>
      </c>
      <c r="J46" s="15" t="s">
        <v>82</v>
      </c>
      <c r="K46" s="16" t="n">
        <v>0.63</v>
      </c>
      <c r="L46" s="15" t="s">
        <v>80</v>
      </c>
      <c r="M46" s="1" t="n">
        <f aca="false">K46*K47/1000</f>
        <v>0.00189</v>
      </c>
    </row>
    <row r="47" customFormat="false" ht="13.8" hidden="false" customHeight="false" outlineLevel="0" collapsed="false">
      <c r="B47" s="20"/>
      <c r="H47" s="21"/>
      <c r="I47" s="15" t="s">
        <v>83</v>
      </c>
      <c r="J47" s="15" t="s">
        <v>84</v>
      </c>
      <c r="K47" s="16" t="n">
        <v>3</v>
      </c>
      <c r="L47" s="15" t="s">
        <v>62</v>
      </c>
    </row>
    <row r="48" customFormat="false" ht="13.8" hidden="false" customHeight="false" outlineLevel="0" collapsed="false">
      <c r="B48" s="20"/>
      <c r="H48" s="21"/>
      <c r="I48" s="15" t="s">
        <v>85</v>
      </c>
      <c r="J48" s="15"/>
      <c r="K48" s="16" t="n">
        <f aca="false">K46*K47/1000</f>
        <v>0.00189</v>
      </c>
      <c r="L48" s="15" t="s">
        <v>71</v>
      </c>
    </row>
    <row r="49" customFormat="false" ht="13.8" hidden="false" customHeight="false" outlineLevel="0" collapsed="false">
      <c r="B49" s="20"/>
      <c r="H49" s="21"/>
      <c r="I49" s="15" t="s">
        <v>86</v>
      </c>
      <c r="J49" s="15" t="s">
        <v>87</v>
      </c>
      <c r="K49" s="16" t="n">
        <v>200</v>
      </c>
      <c r="L49" s="15" t="s">
        <v>62</v>
      </c>
    </row>
    <row r="50" customFormat="false" ht="13.8" hidden="false" customHeight="false" outlineLevel="0" collapsed="false">
      <c r="B50" s="20"/>
      <c r="H50" s="21"/>
      <c r="I50" s="15" t="s">
        <v>88</v>
      </c>
      <c r="J50" s="15" t="s">
        <v>89</v>
      </c>
      <c r="K50" s="16" t="n">
        <v>200</v>
      </c>
      <c r="L50" s="15" t="s">
        <v>62</v>
      </c>
    </row>
    <row r="51" customFormat="false" ht="13.8" hidden="false" customHeight="false" outlineLevel="0" collapsed="false">
      <c r="B51" s="20"/>
      <c r="H51" s="21"/>
      <c r="I51" s="15" t="s">
        <v>90</v>
      </c>
      <c r="J51" s="15" t="s">
        <v>91</v>
      </c>
      <c r="K51" s="16" t="n">
        <v>5E-005</v>
      </c>
      <c r="L51" s="15" t="s">
        <v>92</v>
      </c>
    </row>
    <row r="52" customFormat="false" ht="13.8" hidden="false" customHeight="false" outlineLevel="0" collapsed="false">
      <c r="B52" s="30"/>
      <c r="C52" s="31"/>
      <c r="D52" s="31"/>
      <c r="E52" s="31"/>
      <c r="F52" s="31"/>
      <c r="G52" s="31"/>
      <c r="H52" s="32"/>
      <c r="I52" s="15" t="s">
        <v>93</v>
      </c>
      <c r="J52" s="15" t="s">
        <v>94</v>
      </c>
      <c r="K52" s="16" t="n">
        <v>0</v>
      </c>
      <c r="L52" s="15" t="s">
        <v>92</v>
      </c>
    </row>
    <row r="53" customFormat="false" ht="12.8" hidden="false" customHeight="true" outlineLevel="0" collapsed="false">
      <c r="B53" s="40" t="s">
        <v>95</v>
      </c>
      <c r="C53" s="40"/>
      <c r="D53" s="40"/>
      <c r="E53" s="40"/>
      <c r="F53" s="40"/>
      <c r="G53" s="40"/>
      <c r="H53" s="40"/>
      <c r="I53" s="40"/>
      <c r="J53" s="40"/>
      <c r="K53" s="40"/>
      <c r="L53" s="40"/>
    </row>
    <row r="54" customFormat="false" ht="12.8" hidden="false" customHeight="false" outlineLevel="0" collapsed="false">
      <c r="B54" s="40"/>
      <c r="C54" s="40"/>
      <c r="D54" s="40"/>
      <c r="E54" s="40"/>
      <c r="F54" s="40"/>
      <c r="G54" s="40"/>
      <c r="H54" s="40"/>
      <c r="I54" s="40"/>
      <c r="J54" s="40"/>
      <c r="K54" s="40"/>
      <c r="L54" s="40"/>
    </row>
    <row r="55" customFormat="false" ht="12.8" hidden="false" customHeight="false" outlineLevel="0" collapsed="false">
      <c r="B55" s="40"/>
      <c r="C55" s="40"/>
      <c r="D55" s="40"/>
      <c r="E55" s="40"/>
      <c r="F55" s="40"/>
      <c r="G55" s="40"/>
      <c r="H55" s="40"/>
      <c r="I55" s="40"/>
      <c r="J55" s="40"/>
      <c r="K55" s="40"/>
      <c r="L55" s="40"/>
    </row>
    <row r="56" customFormat="false" ht="12.8" hidden="false" customHeight="false" outlineLevel="0" collapsed="false"/>
    <row r="57" customFormat="false" ht="24.05" hidden="false" customHeight="true" outlineLevel="0" collapsed="false">
      <c r="B57" s="41" t="s">
        <v>96</v>
      </c>
      <c r="C57" s="42"/>
      <c r="D57" s="42"/>
      <c r="E57" s="42"/>
      <c r="F57" s="42"/>
      <c r="G57" s="43" t="s">
        <v>97</v>
      </c>
      <c r="H57" s="44"/>
      <c r="I57" s="45" t="s">
        <v>98</v>
      </c>
      <c r="J57" s="45"/>
      <c r="K57" s="45"/>
      <c r="L57" s="45"/>
    </row>
    <row r="58" customFormat="false" ht="13.8" hidden="false" customHeight="false" outlineLevel="0" collapsed="false">
      <c r="B58" s="46" t="s">
        <v>99</v>
      </c>
      <c r="C58" s="47"/>
      <c r="D58" s="47"/>
      <c r="E58" s="47"/>
      <c r="F58" s="47"/>
      <c r="G58" s="48" t="s">
        <v>100</v>
      </c>
      <c r="H58" s="49"/>
      <c r="I58" s="15" t="s">
        <v>101</v>
      </c>
      <c r="J58" s="15" t="s">
        <v>102</v>
      </c>
      <c r="K58" s="16" t="n">
        <v>4500</v>
      </c>
      <c r="L58" s="15" t="s">
        <v>103</v>
      </c>
      <c r="N58" s="50" t="s">
        <v>104</v>
      </c>
      <c r="O58" s="51"/>
      <c r="P58" s="52"/>
      <c r="Q58" s="53"/>
    </row>
    <row r="59" customFormat="false" ht="13.8" hidden="false" customHeight="false" outlineLevel="0" collapsed="false">
      <c r="B59" s="46"/>
      <c r="C59" s="47"/>
      <c r="D59" s="47"/>
      <c r="E59" s="47"/>
      <c r="F59" s="47"/>
      <c r="G59" s="48"/>
      <c r="H59" s="49"/>
      <c r="I59" s="15" t="s">
        <v>105</v>
      </c>
      <c r="J59" s="15"/>
      <c r="K59" s="16" t="n">
        <v>3</v>
      </c>
      <c r="L59" s="15" t="s">
        <v>106</v>
      </c>
      <c r="M59" s="54"/>
      <c r="N59" s="55" t="s">
        <v>107</v>
      </c>
      <c r="O59" s="53"/>
      <c r="P59" s="56"/>
      <c r="Q59" s="53"/>
    </row>
    <row r="60" customFormat="false" ht="13.8" hidden="false" customHeight="false" outlineLevel="0" collapsed="false">
      <c r="B60" s="46" t="s">
        <v>108</v>
      </c>
      <c r="C60" s="47"/>
      <c r="D60" s="47"/>
      <c r="E60" s="47"/>
      <c r="F60" s="47"/>
      <c r="G60" s="48" t="s">
        <v>109</v>
      </c>
      <c r="I60" s="15" t="s">
        <v>110</v>
      </c>
      <c r="J60" s="15"/>
      <c r="K60" s="16" t="n">
        <v>3</v>
      </c>
      <c r="L60" s="15" t="s">
        <v>106</v>
      </c>
      <c r="M60" s="57"/>
      <c r="N60" s="55" t="s">
        <v>111</v>
      </c>
      <c r="O60" s="53"/>
      <c r="P60" s="56"/>
      <c r="Q60" s="53"/>
    </row>
    <row r="61" customFormat="false" ht="12.8" hidden="false" customHeight="false" outlineLevel="0" collapsed="false">
      <c r="B61" s="46" t="s">
        <v>112</v>
      </c>
      <c r="C61" s="58"/>
      <c r="D61" s="58"/>
      <c r="E61" s="58"/>
      <c r="F61" s="58"/>
      <c r="G61" s="59" t="s">
        <v>113</v>
      </c>
      <c r="I61" s="60" t="s">
        <v>114</v>
      </c>
      <c r="J61" s="60"/>
      <c r="K61" s="60"/>
      <c r="L61" s="60"/>
      <c r="N61" s="61" t="s">
        <v>115</v>
      </c>
      <c r="O61" s="62"/>
      <c r="P61" s="63"/>
      <c r="Q61" s="53"/>
    </row>
    <row r="62" customFormat="false" ht="13.8" hidden="false" customHeight="false" outlineLevel="0" collapsed="false">
      <c r="B62" s="64" t="s">
        <v>116</v>
      </c>
      <c r="C62" s="65"/>
      <c r="D62" s="65"/>
      <c r="E62" s="65"/>
      <c r="F62" s="65"/>
      <c r="G62" s="66"/>
      <c r="I62" s="15" t="s">
        <v>117</v>
      </c>
      <c r="J62" s="15" t="s">
        <v>118</v>
      </c>
      <c r="K62" s="39" t="n">
        <f aca="false">IF(M24+M25=0,K19*K23*1000*(K24-K25)/1000/3600,IF(M32+M33=0,K27*K27*(K33-K32)/1000/3600,"Data incomplete"))</f>
        <v>11712.4</v>
      </c>
      <c r="L62" s="15" t="s">
        <v>119</v>
      </c>
      <c r="Q62" s="53"/>
    </row>
    <row r="63" customFormat="false" ht="12.8" hidden="false" customHeight="false" outlineLevel="0" collapsed="false">
      <c r="D63" s="47"/>
      <c r="E63" s="47"/>
      <c r="I63" s="13" t="s">
        <v>120</v>
      </c>
      <c r="J63" s="13"/>
      <c r="K63" s="13"/>
      <c r="L63" s="13"/>
      <c r="Q63" s="53"/>
    </row>
    <row r="64" customFormat="false" ht="13.8" hidden="false" customHeight="false" outlineLevel="0" collapsed="false">
      <c r="D64" s="47"/>
      <c r="E64" s="47"/>
      <c r="I64" s="15" t="s">
        <v>121</v>
      </c>
      <c r="J64" s="15"/>
      <c r="K64" s="39" t="str">
        <f aca="false">IF(M24+M25=1,"Hot","Cold")</f>
        <v>Cold</v>
      </c>
      <c r="L64" s="15"/>
      <c r="Q64" s="53"/>
    </row>
    <row r="65" customFormat="false" ht="13.8" hidden="false" customHeight="false" outlineLevel="0" collapsed="false">
      <c r="D65" s="47"/>
      <c r="E65" s="47"/>
      <c r="I65" s="15"/>
      <c r="J65" s="15"/>
      <c r="K65" s="39" t="str">
        <f aca="false">IF(K64="Hot",IF(M24=1,"inlet","outlet"),IF(M32=1,"inlet","outlet"))</f>
        <v>outlet</v>
      </c>
      <c r="L65" s="15"/>
      <c r="Q65" s="53"/>
    </row>
    <row r="66" customFormat="false" ht="13.8" hidden="false" customHeight="false" outlineLevel="0" collapsed="false">
      <c r="D66" s="47"/>
      <c r="E66" s="47"/>
      <c r="I66" s="15"/>
      <c r="J66" s="15"/>
      <c r="K66" s="39" t="n">
        <f aca="false">IF(K64="Cold",IF(K65="outlet",K62/(K27/3600*K31*1000/1000)+K32,-(K62/(K27/3600*K31*1000/1000)-K33)),IF(K65="outlet",-(K62/(K19/3600*K19/1000)-K24),K62/(K19/3600*K19/1000)+K25))</f>
        <v>42.0239348970799</v>
      </c>
      <c r="L66" s="15" t="s">
        <v>31</v>
      </c>
      <c r="Q66" s="53"/>
    </row>
    <row r="67" customFormat="false" ht="13.8" hidden="false" customHeight="false" outlineLevel="0" collapsed="false">
      <c r="D67" s="47"/>
      <c r="E67" s="47"/>
      <c r="I67" s="15" t="s">
        <v>122</v>
      </c>
      <c r="J67" s="15"/>
      <c r="K67" s="39" t="str">
        <f aca="false">IF(ABS(M67-M68)/M68*100&lt;1,"Ok","Not OK")</f>
        <v>Ok</v>
      </c>
      <c r="L67" s="15"/>
      <c r="M67" s="1" t="n">
        <f aca="false">K27*K31*1000*(B29-G29)</f>
        <v>42164640000</v>
      </c>
      <c r="Q67" s="53"/>
    </row>
    <row r="68" customFormat="false" ht="12.8" hidden="false" customHeight="false" outlineLevel="0" collapsed="false">
      <c r="D68" s="47"/>
      <c r="E68" s="47"/>
      <c r="I68" s="13" t="s">
        <v>123</v>
      </c>
      <c r="J68" s="13"/>
      <c r="K68" s="13"/>
      <c r="L68" s="13"/>
      <c r="M68" s="1" t="n">
        <f aca="false">K19*K23*1000*(B22-G22)</f>
        <v>42164640000</v>
      </c>
      <c r="Q68" s="53"/>
    </row>
    <row r="69" customFormat="false" ht="13.8" hidden="false" customHeight="false" outlineLevel="0" collapsed="false">
      <c r="D69" s="47"/>
      <c r="E69" s="47"/>
      <c r="I69" s="15"/>
      <c r="J69" s="15" t="s">
        <v>124</v>
      </c>
      <c r="K69" s="39" t="n">
        <f aca="false">((B22-B29)-(G22-G29))/LN((B22-B29)/(G22-G29))</f>
        <v>22.9880304747297</v>
      </c>
      <c r="L69" s="15" t="s">
        <v>31</v>
      </c>
      <c r="Q69" s="53"/>
    </row>
    <row r="70" customFormat="false" ht="13.8" hidden="false" customHeight="false" outlineLevel="0" collapsed="false">
      <c r="D70" s="47"/>
      <c r="E70" s="47"/>
      <c r="I70" s="15" t="s">
        <v>125</v>
      </c>
      <c r="J70" s="15" t="s">
        <v>126</v>
      </c>
      <c r="K70" s="39" t="n">
        <f aca="false">K62/(K58/1000*K69)</f>
        <v>113.222207462128</v>
      </c>
      <c r="L70" s="15" t="s">
        <v>71</v>
      </c>
      <c r="Q70" s="53"/>
    </row>
    <row r="71" customFormat="false" ht="12.8" hidden="false" customHeight="false" outlineLevel="0" collapsed="false">
      <c r="D71" s="47"/>
      <c r="E71" s="47"/>
      <c r="Q71" s="53"/>
    </row>
    <row r="72" customFormat="false" ht="12.8" hidden="false" customHeight="false" outlineLevel="0" collapsed="false">
      <c r="D72" s="47"/>
      <c r="E72" s="47"/>
      <c r="I72" s="60" t="s">
        <v>127</v>
      </c>
      <c r="J72" s="60"/>
      <c r="K72" s="60"/>
      <c r="L72" s="60"/>
      <c r="Q72" s="53"/>
    </row>
    <row r="73" customFormat="false" ht="13.8" hidden="false" customHeight="false" outlineLevel="0" collapsed="false">
      <c r="D73" s="47"/>
      <c r="E73" s="47"/>
      <c r="I73" s="15" t="s">
        <v>128</v>
      </c>
      <c r="J73" s="15" t="s">
        <v>129</v>
      </c>
      <c r="K73" s="67" t="n">
        <f aca="false">4*K47/1000*K46/(2*K47/1000+2*K46*K43)</f>
        <v>0.00479301857238756</v>
      </c>
      <c r="L73" s="15" t="s">
        <v>80</v>
      </c>
      <c r="Q73" s="53"/>
    </row>
    <row r="74" customFormat="false" ht="13.8" hidden="false" customHeight="false" outlineLevel="0" collapsed="false">
      <c r="D74" s="47"/>
      <c r="E74" s="47"/>
      <c r="I74" s="15" t="s">
        <v>130</v>
      </c>
      <c r="J74" s="15" t="s">
        <v>131</v>
      </c>
      <c r="K74" s="39" t="n">
        <f aca="false">ODD(ROUND(K70/K41,0))</f>
        <v>107</v>
      </c>
      <c r="L74" s="15" t="s">
        <v>132</v>
      </c>
      <c r="Q74" s="53"/>
    </row>
    <row r="75" customFormat="false" ht="13.8" hidden="false" customHeight="false" outlineLevel="0" collapsed="false">
      <c r="D75" s="47"/>
      <c r="E75" s="47"/>
      <c r="I75" s="15" t="s">
        <v>133</v>
      </c>
      <c r="J75" s="15" t="s">
        <v>134</v>
      </c>
      <c r="K75" s="39" t="n">
        <f aca="false">(K74-1)/2</f>
        <v>53</v>
      </c>
      <c r="L75" s="15" t="s">
        <v>135</v>
      </c>
      <c r="Q75" s="53"/>
    </row>
    <row r="76" customFormat="false" ht="12.8" hidden="false" customHeight="false" outlineLevel="0" collapsed="false">
      <c r="D76" s="47"/>
      <c r="E76" s="47"/>
      <c r="Q76" s="53"/>
    </row>
    <row r="77" customFormat="false" ht="12.8" hidden="false" customHeight="false" outlineLevel="0" collapsed="false">
      <c r="D77" s="47"/>
      <c r="E77" s="47"/>
      <c r="I77" s="60" t="s">
        <v>136</v>
      </c>
      <c r="J77" s="60"/>
      <c r="K77" s="60"/>
      <c r="L77" s="60"/>
      <c r="Q77" s="53"/>
    </row>
    <row r="78" customFormat="false" ht="13.8" hidden="false" customHeight="false" outlineLevel="0" collapsed="false">
      <c r="D78" s="47"/>
      <c r="E78" s="47"/>
      <c r="I78" s="15" t="s">
        <v>137</v>
      </c>
      <c r="J78" s="15" t="s">
        <v>138</v>
      </c>
      <c r="K78" s="39" t="n">
        <f aca="false">(K19/(K20*K75*(K46*K47/1000)))/3600</f>
        <v>1.41890765394261</v>
      </c>
      <c r="L78" s="15" t="s">
        <v>139</v>
      </c>
      <c r="M78" s="1" t="n">
        <f aca="false">K78/M46</f>
        <v>750.744790445826</v>
      </c>
      <c r="Q78" s="53"/>
    </row>
    <row r="79" customFormat="false" ht="13.8" hidden="false" customHeight="false" outlineLevel="0" collapsed="false">
      <c r="D79" s="47"/>
      <c r="E79" s="47"/>
      <c r="I79" s="15" t="s">
        <v>140</v>
      </c>
      <c r="J79" s="15" t="s">
        <v>141</v>
      </c>
      <c r="K79" s="39" t="n">
        <f aca="false">(K27/(K28*K75*(K46*K47/1000)))/3600</f>
        <v>1.40464727551103</v>
      </c>
      <c r="L79" s="15" t="s">
        <v>139</v>
      </c>
      <c r="M79" s="1" t="n">
        <f aca="false">K78*K20</f>
        <v>1397.62403913347</v>
      </c>
      <c r="Q79" s="53"/>
    </row>
    <row r="80" customFormat="false" ht="13.8" hidden="false" customHeight="false" outlineLevel="0" collapsed="false">
      <c r="D80" s="47"/>
      <c r="E80" s="47"/>
      <c r="I80" s="15" t="s">
        <v>142</v>
      </c>
      <c r="J80" s="15" t="s">
        <v>143</v>
      </c>
      <c r="K80" s="39" t="n">
        <f aca="false">K19/3600/K48/K75</f>
        <v>1397.62403913347</v>
      </c>
      <c r="L80" s="15" t="s">
        <v>144</v>
      </c>
      <c r="Q80" s="53"/>
    </row>
    <row r="81" customFormat="false" ht="13.8" hidden="false" customHeight="false" outlineLevel="0" collapsed="false">
      <c r="D81" s="47"/>
      <c r="E81" s="47"/>
      <c r="I81" s="15" t="s">
        <v>145</v>
      </c>
      <c r="J81" s="15" t="s">
        <v>146</v>
      </c>
      <c r="K81" s="39" t="n">
        <f aca="false">K27/3600/K48/K75</f>
        <v>1397.62403913347</v>
      </c>
      <c r="L81" s="15" t="s">
        <v>144</v>
      </c>
      <c r="Q81" s="53"/>
    </row>
    <row r="82" customFormat="false" ht="13.8" hidden="false" customHeight="false" outlineLevel="0" collapsed="false">
      <c r="D82" s="47"/>
      <c r="E82" s="47"/>
      <c r="I82" s="15" t="s">
        <v>147</v>
      </c>
      <c r="J82" s="15" t="s">
        <v>148</v>
      </c>
      <c r="K82" s="39" t="n">
        <f aca="false">K73*K78*K20/K21</f>
        <v>13160.781879729</v>
      </c>
      <c r="L82" s="15"/>
      <c r="Q82" s="53"/>
    </row>
    <row r="83" customFormat="false" ht="13.8" hidden="false" customHeight="false" outlineLevel="0" collapsed="false">
      <c r="D83" s="47"/>
      <c r="E83" s="47"/>
      <c r="I83" s="15" t="s">
        <v>149</v>
      </c>
      <c r="J83" s="15" t="s">
        <v>150</v>
      </c>
      <c r="K83" s="39" t="n">
        <f aca="false">K73*K79*K28/K29</f>
        <v>8745.21929083819</v>
      </c>
      <c r="L83" s="15"/>
      <c r="Q83" s="53"/>
    </row>
    <row r="84" customFormat="false" ht="12.8" hidden="false" customHeight="false" outlineLevel="0" collapsed="false">
      <c r="D84" s="47"/>
      <c r="E84" s="47"/>
      <c r="I84" s="13" t="s">
        <v>151</v>
      </c>
      <c r="J84" s="13"/>
      <c r="K84" s="13"/>
      <c r="L84" s="13"/>
      <c r="Q84" s="53"/>
    </row>
    <row r="85" customFormat="false" ht="13.8" hidden="false" customHeight="false" outlineLevel="0" collapsed="false">
      <c r="D85" s="47"/>
      <c r="E85" s="47"/>
      <c r="I85" s="15" t="s">
        <v>152</v>
      </c>
      <c r="J85" s="15" t="s">
        <v>153</v>
      </c>
      <c r="K85" s="16" t="n">
        <v>0.3</v>
      </c>
      <c r="L85" s="15"/>
      <c r="Q85" s="53"/>
    </row>
    <row r="86" customFormat="false" ht="13.8" hidden="false" customHeight="false" outlineLevel="0" collapsed="false">
      <c r="D86" s="47"/>
      <c r="E86" s="47"/>
      <c r="I86" s="15" t="s">
        <v>154</v>
      </c>
      <c r="J86" s="15" t="s">
        <v>84</v>
      </c>
      <c r="K86" s="16" t="n">
        <v>0.663</v>
      </c>
      <c r="L86" s="15"/>
      <c r="Q86" s="53"/>
    </row>
    <row r="87" customFormat="false" ht="13.8" hidden="false" customHeight="false" outlineLevel="0" collapsed="false">
      <c r="D87" s="47"/>
      <c r="E87" s="47"/>
      <c r="I87" s="15" t="s">
        <v>155</v>
      </c>
      <c r="J87" s="15" t="s">
        <v>156</v>
      </c>
      <c r="K87" s="39" t="n">
        <f aca="false">K21*K23*1000/K22</f>
        <v>3.30100310077519</v>
      </c>
      <c r="L87" s="15"/>
      <c r="Q87" s="53"/>
    </row>
    <row r="88" customFormat="false" ht="13.8" hidden="false" customHeight="false" outlineLevel="0" collapsed="false">
      <c r="D88" s="47"/>
      <c r="E88" s="47"/>
      <c r="I88" s="15" t="s">
        <v>157</v>
      </c>
      <c r="J88" s="15" t="s">
        <v>158</v>
      </c>
      <c r="K88" s="39" t="n">
        <f aca="false">K29*K31*1000/K30</f>
        <v>5.18694975688817</v>
      </c>
      <c r="L88" s="15"/>
      <c r="Q88" s="53"/>
    </row>
    <row r="89" customFormat="false" ht="12.8" hidden="false" customHeight="false" outlineLevel="0" collapsed="false">
      <c r="D89" s="47"/>
      <c r="E89" s="47"/>
      <c r="I89" s="13" t="s">
        <v>159</v>
      </c>
      <c r="J89" s="13"/>
      <c r="K89" s="13"/>
      <c r="L89" s="13"/>
      <c r="Q89" s="53"/>
    </row>
    <row r="90" customFormat="false" ht="13.8" hidden="false" customHeight="false" outlineLevel="0" collapsed="false">
      <c r="D90" s="47"/>
      <c r="E90" s="47"/>
      <c r="I90" s="15" t="s">
        <v>160</v>
      </c>
      <c r="J90" s="15" t="s">
        <v>161</v>
      </c>
      <c r="K90" s="39" t="n">
        <f aca="false">K85*K82^K86*K87^0.33</f>
        <v>239.529039931243</v>
      </c>
      <c r="L90" s="15"/>
      <c r="Q90" s="53"/>
    </row>
    <row r="91" customFormat="false" ht="13.8" hidden="false" customHeight="false" outlineLevel="0" collapsed="false">
      <c r="D91" s="47"/>
      <c r="E91" s="47"/>
      <c r="I91" s="15" t="s">
        <v>162</v>
      </c>
      <c r="J91" s="15" t="s">
        <v>163</v>
      </c>
      <c r="K91" s="39" t="n">
        <f aca="false">K85*K83^K86*K88^0.33</f>
        <v>212.048988495599</v>
      </c>
      <c r="L91" s="15"/>
      <c r="Q91" s="53"/>
    </row>
    <row r="92" customFormat="false" ht="13.8" hidden="false" customHeight="false" outlineLevel="0" collapsed="false">
      <c r="D92" s="47"/>
      <c r="E92" s="47"/>
      <c r="I92" s="15" t="s">
        <v>164</v>
      </c>
      <c r="J92" s="15" t="s">
        <v>165</v>
      </c>
      <c r="K92" s="39" t="n">
        <f aca="false">K90*K22/K73</f>
        <v>32233.5973504672</v>
      </c>
      <c r="L92" s="15" t="s">
        <v>103</v>
      </c>
      <c r="Q92" s="53"/>
    </row>
    <row r="93" customFormat="false" ht="13.8" hidden="false" customHeight="false" outlineLevel="0" collapsed="false">
      <c r="D93" s="47"/>
      <c r="E93" s="47"/>
      <c r="I93" s="15" t="s">
        <v>166</v>
      </c>
      <c r="J93" s="15" t="s">
        <v>167</v>
      </c>
      <c r="K93" s="39" t="n">
        <f aca="false">K91*K30/K73</f>
        <v>27296.8326589671</v>
      </c>
      <c r="L93" s="15" t="s">
        <v>103</v>
      </c>
      <c r="Q93" s="53"/>
    </row>
    <row r="94" customFormat="false" ht="13.8" hidden="false" customHeight="false" outlineLevel="0" collapsed="false">
      <c r="D94" s="47"/>
      <c r="E94" s="47"/>
      <c r="F94" s="47"/>
      <c r="G94" s="47"/>
      <c r="H94" s="47"/>
      <c r="I94" s="15" t="s">
        <v>168</v>
      </c>
      <c r="J94" s="15" t="s">
        <v>169</v>
      </c>
      <c r="K94" s="39" t="n">
        <f aca="false">1/(1/K92+1/K93+K38/1000/K40)</f>
        <v>9809.35210164225</v>
      </c>
      <c r="L94" s="15" t="s">
        <v>103</v>
      </c>
      <c r="Q94" s="53"/>
    </row>
    <row r="95" customFormat="false" ht="13.8" hidden="false" customHeight="false" outlineLevel="0" collapsed="false">
      <c r="D95" s="47"/>
      <c r="E95" s="47"/>
      <c r="F95" s="47"/>
      <c r="G95" s="47"/>
      <c r="H95" s="47"/>
      <c r="I95" s="15" t="s">
        <v>170</v>
      </c>
      <c r="J95" s="15" t="s">
        <v>171</v>
      </c>
      <c r="K95" s="68" t="n">
        <f aca="false">1/(1/K92+1/K93+K38/1000/K40+K51+K52)</f>
        <v>6581.39235512055</v>
      </c>
      <c r="L95" s="15" t="s">
        <v>103</v>
      </c>
      <c r="Q95" s="53"/>
    </row>
    <row r="96" customFormat="false" ht="13.8" hidden="false" customHeight="false" outlineLevel="0" collapsed="false">
      <c r="I96" s="15" t="s">
        <v>172</v>
      </c>
      <c r="J96" s="15"/>
      <c r="K96" s="68" t="n">
        <f aca="false">(K95*K70*K69)/(K58*K70*K69)</f>
        <v>1.46253163447123</v>
      </c>
      <c r="L96" s="15"/>
      <c r="Q96" s="53"/>
    </row>
    <row r="97" customFormat="false" ht="12.8" hidden="false" customHeight="false" outlineLevel="0" collapsed="false">
      <c r="Q97" s="53"/>
    </row>
    <row r="98" customFormat="false" ht="12.8" hidden="false" customHeight="false" outlineLevel="0" collapsed="false">
      <c r="I98" s="60" t="s">
        <v>173</v>
      </c>
      <c r="J98" s="60"/>
      <c r="K98" s="60"/>
      <c r="L98" s="60"/>
      <c r="Q98" s="53"/>
    </row>
    <row r="99" customFormat="false" ht="12.8" hidden="false" customHeight="false" outlineLevel="0" collapsed="false">
      <c r="I99" s="13" t="s">
        <v>151</v>
      </c>
      <c r="J99" s="13"/>
      <c r="K99" s="13"/>
      <c r="L99" s="13"/>
      <c r="Q99" s="53"/>
    </row>
    <row r="100" customFormat="false" ht="13.8" hidden="false" customHeight="false" outlineLevel="0" collapsed="false">
      <c r="I100" s="15" t="s">
        <v>174</v>
      </c>
      <c r="J100" s="15" t="s">
        <v>175</v>
      </c>
      <c r="K100" s="16" t="n">
        <v>1.441</v>
      </c>
      <c r="L100" s="15"/>
      <c r="Q100" s="53"/>
    </row>
    <row r="101" customFormat="false" ht="13.8" hidden="false" customHeight="false" outlineLevel="0" collapsed="false">
      <c r="I101" s="15" t="s">
        <v>176</v>
      </c>
      <c r="J101" s="15" t="s">
        <v>80</v>
      </c>
      <c r="K101" s="16" t="n">
        <v>0.206</v>
      </c>
      <c r="L101" s="15"/>
      <c r="Q101" s="53"/>
    </row>
    <row r="102" customFormat="false" ht="13.8" hidden="false" customHeight="false" outlineLevel="0" collapsed="false">
      <c r="I102" s="15" t="s">
        <v>177</v>
      </c>
      <c r="J102" s="15" t="s">
        <v>178</v>
      </c>
      <c r="K102" s="39" t="n">
        <f aca="false">K100/K82^K101</f>
        <v>0.204217028391851</v>
      </c>
      <c r="L102" s="15"/>
      <c r="Q102" s="53"/>
    </row>
    <row r="103" customFormat="false" ht="13.8" hidden="false" customHeight="false" outlineLevel="0" collapsed="false">
      <c r="I103" s="15" t="s">
        <v>179</v>
      </c>
      <c r="J103" s="15" t="s">
        <v>180</v>
      </c>
      <c r="K103" s="39" t="n">
        <f aca="false">K100/K83^K101</f>
        <v>0.222156597771348</v>
      </c>
      <c r="L103" s="15"/>
      <c r="Q103" s="53"/>
    </row>
    <row r="104" customFormat="false" ht="13.8" hidden="false" customHeight="false" outlineLevel="0" collapsed="false">
      <c r="I104" s="15" t="s">
        <v>181</v>
      </c>
      <c r="J104" s="15" t="s">
        <v>182</v>
      </c>
      <c r="K104" s="39" t="n">
        <f aca="false">4*K102*K45*1/K73*(K80^2/(2*K20))</f>
        <v>261932.282656682</v>
      </c>
      <c r="L104" s="15" t="s">
        <v>183</v>
      </c>
      <c r="Q104" s="53"/>
    </row>
    <row r="105" customFormat="false" ht="13.8" hidden="false" customHeight="false" outlineLevel="0" collapsed="false">
      <c r="I105" s="15" t="s">
        <v>184</v>
      </c>
      <c r="J105" s="15" t="s">
        <v>185</v>
      </c>
      <c r="K105" s="39" t="n">
        <f aca="false">4*K103*K45*1/K73*(K81^2/(2*K28))</f>
        <v>282078.146213678</v>
      </c>
      <c r="L105" s="15" t="s">
        <v>183</v>
      </c>
      <c r="Q105" s="53"/>
    </row>
    <row r="106" customFormat="false" ht="13.8" hidden="false" customHeight="false" outlineLevel="0" collapsed="false">
      <c r="I106" s="15" t="s">
        <v>186</v>
      </c>
      <c r="J106" s="15" t="s">
        <v>187</v>
      </c>
      <c r="K106" s="39" t="n">
        <f aca="false">K19/3600/(PI()*(K49/1000)^2/4)</f>
        <v>4456.33840657307</v>
      </c>
      <c r="L106" s="15"/>
      <c r="Q106" s="53"/>
    </row>
    <row r="107" customFormat="false" ht="13.8" hidden="false" customHeight="false" outlineLevel="0" collapsed="false">
      <c r="I107" s="15" t="s">
        <v>188</v>
      </c>
      <c r="J107" s="15" t="s">
        <v>189</v>
      </c>
      <c r="K107" s="39" t="n">
        <f aca="false">K27/3600/(PI()*(K50/1000)^2/4)</f>
        <v>4456.33840657307</v>
      </c>
      <c r="L107" s="15"/>
      <c r="Q107" s="53"/>
    </row>
    <row r="108" customFormat="false" ht="13.8" hidden="false" customHeight="false" outlineLevel="0" collapsed="false">
      <c r="I108" s="15" t="s">
        <v>190</v>
      </c>
      <c r="J108" s="15"/>
      <c r="K108" s="39" t="n">
        <f aca="false">1.4*1*K106^2/(2*K20)</f>
        <v>14112.9608078464</v>
      </c>
      <c r="L108" s="15" t="s">
        <v>183</v>
      </c>
      <c r="Q108" s="53"/>
    </row>
    <row r="109" customFormat="false" ht="13.8" hidden="false" customHeight="false" outlineLevel="0" collapsed="false">
      <c r="I109" s="15" t="s">
        <v>191</v>
      </c>
      <c r="J109" s="15"/>
      <c r="K109" s="39" t="n">
        <f aca="false">1.4*1*K107^2/(2*K28)</f>
        <v>13971.1220057575</v>
      </c>
      <c r="L109" s="15" t="s">
        <v>183</v>
      </c>
      <c r="Q109" s="53"/>
    </row>
    <row r="110" customFormat="false" ht="13.8" hidden="false" customHeight="false" outlineLevel="0" collapsed="false">
      <c r="I110" s="15" t="s">
        <v>192</v>
      </c>
      <c r="J110" s="15" t="s">
        <v>193</v>
      </c>
      <c r="K110" s="39" t="n">
        <f aca="false">K108+K104</f>
        <v>276045.243464528</v>
      </c>
      <c r="L110" s="15" t="s">
        <v>183</v>
      </c>
      <c r="M110" s="39" t="n">
        <f aca="false">K110/10^5</f>
        <v>2.76045243464528</v>
      </c>
      <c r="N110" s="15" t="s">
        <v>106</v>
      </c>
      <c r="O110" s="53"/>
      <c r="P110" s="53"/>
      <c r="Q110" s="53"/>
    </row>
    <row r="111" customFormat="false" ht="13.8" hidden="false" customHeight="false" outlineLevel="0" collapsed="false">
      <c r="I111" s="15" t="s">
        <v>194</v>
      </c>
      <c r="J111" s="15" t="s">
        <v>195</v>
      </c>
      <c r="K111" s="39" t="n">
        <f aca="false">K109+K105</f>
        <v>296049.268219435</v>
      </c>
      <c r="L111" s="15" t="s">
        <v>183</v>
      </c>
      <c r="M111" s="39" t="n">
        <f aca="false">K111/10^5</f>
        <v>2.96049268219435</v>
      </c>
      <c r="N111" s="15" t="s">
        <v>106</v>
      </c>
      <c r="O111" s="53"/>
      <c r="P111" s="53"/>
      <c r="Q111" s="53"/>
    </row>
    <row r="112" customFormat="false" ht="12.8" hidden="false" customHeight="false" outlineLevel="0" collapsed="false"/>
    <row r="114" customFormat="false" ht="12.75" hidden="false" customHeight="false" outlineLevel="0" collapsed="false">
      <c r="B114" s="69" t="s">
        <v>196</v>
      </c>
      <c r="C114" s="69"/>
      <c r="D114" s="69"/>
      <c r="E114" s="69"/>
      <c r="F114" s="69"/>
      <c r="G114" s="69"/>
      <c r="H114" s="69"/>
      <c r="I114" s="69"/>
      <c r="J114" s="69"/>
      <c r="K114" s="69"/>
      <c r="L114" s="69"/>
      <c r="M114" s="69"/>
      <c r="N114" s="69"/>
    </row>
    <row r="115" customFormat="false" ht="12.75" hidden="false" customHeight="false" outlineLevel="0" collapsed="false">
      <c r="B115" s="69"/>
      <c r="C115" s="69"/>
      <c r="D115" s="69"/>
      <c r="E115" s="69"/>
      <c r="F115" s="69"/>
      <c r="G115" s="69"/>
      <c r="H115" s="69"/>
      <c r="I115" s="69"/>
      <c r="J115" s="69"/>
      <c r="K115" s="69"/>
      <c r="L115" s="69"/>
      <c r="M115" s="69"/>
      <c r="N115" s="69"/>
    </row>
    <row r="116" customFormat="false" ht="12.75" hidden="false" customHeight="false" outlineLevel="0" collapsed="false">
      <c r="B116" s="70" t="s">
        <v>197</v>
      </c>
      <c r="C116" s="70"/>
      <c r="D116" s="70"/>
      <c r="E116" s="70"/>
      <c r="F116" s="70"/>
      <c r="G116" s="70"/>
      <c r="H116" s="69"/>
      <c r="I116" s="69"/>
      <c r="J116" s="69"/>
      <c r="K116" s="69"/>
      <c r="L116" s="69"/>
      <c r="M116" s="69"/>
      <c r="N116" s="69"/>
    </row>
    <row r="117" customFormat="false" ht="12.75" hidden="false" customHeight="false" outlineLevel="0" collapsed="false">
      <c r="B117" s="69"/>
      <c r="C117" s="69"/>
      <c r="D117" s="69"/>
      <c r="E117" s="69"/>
      <c r="F117" s="69"/>
      <c r="G117" s="69"/>
      <c r="H117" s="69"/>
      <c r="I117" s="69"/>
      <c r="J117" s="69"/>
      <c r="K117" s="69"/>
      <c r="L117" s="69"/>
      <c r="M117" s="69"/>
      <c r="N117" s="69"/>
    </row>
    <row r="118" customFormat="false" ht="45.75" hidden="false" customHeight="true" outlineLevel="0" collapsed="false">
      <c r="B118" s="71" t="s">
        <v>198</v>
      </c>
      <c r="C118" s="71"/>
      <c r="D118" s="71"/>
      <c r="E118" s="71"/>
      <c r="F118" s="71"/>
      <c r="G118" s="71"/>
      <c r="H118" s="71"/>
      <c r="I118" s="71"/>
      <c r="J118" s="71"/>
      <c r="K118" s="71"/>
      <c r="L118" s="71"/>
      <c r="M118" s="71"/>
      <c r="N118" s="71"/>
      <c r="O118" s="71"/>
    </row>
    <row r="120" s="2" customFormat="true" ht="12.75" hidden="false" customHeight="false" outlineLevel="0" collapsed="false">
      <c r="A120" s="2" t="s">
        <v>0</v>
      </c>
      <c r="ALV120" s="1"/>
      <c r="ALW120" s="1"/>
      <c r="ALX120" s="1"/>
      <c r="ALY120" s="1"/>
      <c r="ALZ120" s="1"/>
      <c r="AMA120" s="1"/>
      <c r="AMB120" s="1"/>
      <c r="AMC120" s="1"/>
      <c r="AMD120" s="1"/>
      <c r="AME120" s="1"/>
      <c r="AMF120" s="1"/>
      <c r="AMG120" s="1"/>
      <c r="AMH120" s="1"/>
      <c r="AMI120" s="1"/>
      <c r="AMJ120" s="1"/>
    </row>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sheetProtection sheet="true" password="c80a" objects="true" scenarios="true"/>
  <mergeCells count="21">
    <mergeCell ref="B3:O6"/>
    <mergeCell ref="B7:O10"/>
    <mergeCell ref="B11:O12"/>
    <mergeCell ref="I15:L15"/>
    <mergeCell ref="Q15:V15"/>
    <mergeCell ref="I16:L16"/>
    <mergeCell ref="Q16:V19"/>
    <mergeCell ref="I17:L17"/>
    <mergeCell ref="I34:L34"/>
    <mergeCell ref="B53:L55"/>
    <mergeCell ref="I57:L57"/>
    <mergeCell ref="I61:L61"/>
    <mergeCell ref="I63:L63"/>
    <mergeCell ref="I68:L68"/>
    <mergeCell ref="I72:L72"/>
    <mergeCell ref="I77:L77"/>
    <mergeCell ref="I84:L84"/>
    <mergeCell ref="I89:L89"/>
    <mergeCell ref="I98:L98"/>
    <mergeCell ref="I99:L99"/>
    <mergeCell ref="B118:O118"/>
  </mergeCells>
  <hyperlinks>
    <hyperlink ref="B114" r:id="rId1" display="If you spot a mistake or wish to suggest an improvement, please contact : contact@myengineeringtools.com"/>
    <hyperlink ref="B116" r:id="rId2" display="Copyright www.MyEngineeringTools.com"/>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1048576"/>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K16" activeCellId="0" sqref="K16"/>
    </sheetView>
  </sheetViews>
  <sheetFormatPr defaultColWidth="8.60546875" defaultRowHeight="12.75" zeroHeight="false" outlineLevelRow="0" outlineLevelCol="0"/>
  <cols>
    <col collapsed="false" customWidth="false" hidden="false" outlineLevel="0" max="1" min="1" style="1" width="8.6"/>
    <col collapsed="false" customWidth="true" hidden="false" outlineLevel="0" max="2" min="2" style="1" width="26"/>
    <col collapsed="false" customWidth="true" hidden="false" outlineLevel="0" max="4" min="3" style="1" width="4.03"/>
    <col collapsed="false" customWidth="true" hidden="false" outlineLevel="0" max="5" min="5" style="1" width="3.71"/>
    <col collapsed="false" customWidth="true" hidden="false" outlineLevel="0" max="6" min="6" style="1" width="3.44"/>
    <col collapsed="false" customWidth="true" hidden="false" outlineLevel="0" max="7" min="7" style="1" width="26.59"/>
    <col collapsed="false" customWidth="true" hidden="false" outlineLevel="0" max="8" min="8" style="1" width="4.03"/>
    <col collapsed="false" customWidth="true" hidden="false" outlineLevel="0" max="9" min="9" style="1" width="40.57"/>
    <col collapsed="false" customWidth="true" hidden="false" outlineLevel="0" max="10" min="10" style="1" width="11.3"/>
    <col collapsed="false" customWidth="true" hidden="false" outlineLevel="0" max="11" min="11" style="1" width="12.57"/>
    <col collapsed="false" customWidth="true" hidden="false" outlineLevel="0" max="12" min="12" style="1" width="10.29"/>
    <col collapsed="false" customWidth="false" hidden="false" outlineLevel="0" max="1024" min="13" style="1" width="8.6"/>
  </cols>
  <sheetData>
    <row r="1" s="2" customFormat="true" ht="12.75" hidden="false" customHeight="false" outlineLevel="0" collapsed="false">
      <c r="A1" s="2" t="s">
        <v>0</v>
      </c>
      <c r="ALV1" s="1"/>
      <c r="ALW1" s="1"/>
      <c r="ALX1" s="1"/>
      <c r="ALY1" s="1"/>
      <c r="ALZ1" s="1"/>
      <c r="AMA1" s="1"/>
      <c r="AMB1" s="1"/>
      <c r="AMC1" s="1"/>
      <c r="AMD1" s="1"/>
      <c r="AME1" s="1"/>
      <c r="AMF1" s="1"/>
      <c r="AMG1" s="1"/>
      <c r="AMH1" s="1"/>
      <c r="AMI1" s="1"/>
      <c r="AMJ1" s="1"/>
    </row>
    <row r="3" customFormat="false" ht="12.75" hidden="false" customHeight="false" outlineLevel="0" collapsed="false">
      <c r="B3" s="3"/>
      <c r="C3" s="3"/>
      <c r="D3" s="3"/>
      <c r="E3" s="3"/>
      <c r="F3" s="3"/>
      <c r="G3" s="3"/>
      <c r="H3" s="3"/>
      <c r="I3" s="3"/>
      <c r="J3" s="3"/>
      <c r="K3" s="3"/>
      <c r="L3" s="3"/>
      <c r="M3" s="3"/>
      <c r="N3" s="3"/>
      <c r="O3" s="3"/>
    </row>
    <row r="4" customFormat="false" ht="12.75" hidden="false" customHeight="false" outlineLevel="0" collapsed="false">
      <c r="B4" s="3"/>
      <c r="C4" s="3"/>
      <c r="D4" s="3"/>
      <c r="E4" s="3"/>
      <c r="F4" s="3"/>
      <c r="G4" s="3"/>
      <c r="H4" s="3"/>
      <c r="I4" s="3"/>
      <c r="J4" s="3"/>
      <c r="K4" s="3"/>
      <c r="L4" s="3"/>
      <c r="M4" s="3"/>
      <c r="N4" s="3"/>
      <c r="O4" s="3"/>
    </row>
    <row r="5" customFormat="false" ht="12.75" hidden="false" customHeight="false" outlineLevel="0" collapsed="false">
      <c r="B5" s="3"/>
      <c r="C5" s="3"/>
      <c r="D5" s="3"/>
      <c r="E5" s="3"/>
      <c r="F5" s="3"/>
      <c r="G5" s="3"/>
      <c r="H5" s="3"/>
      <c r="I5" s="3"/>
      <c r="J5" s="3"/>
      <c r="K5" s="3"/>
      <c r="L5" s="3"/>
      <c r="M5" s="3"/>
      <c r="N5" s="3"/>
      <c r="O5" s="3"/>
    </row>
    <row r="6" customFormat="false" ht="12.75" hidden="false" customHeight="false" outlineLevel="0" collapsed="false">
      <c r="B6" s="3"/>
      <c r="C6" s="3"/>
      <c r="D6" s="3"/>
      <c r="E6" s="3"/>
      <c r="F6" s="3"/>
      <c r="G6" s="3"/>
      <c r="H6" s="3"/>
      <c r="I6" s="3"/>
      <c r="J6" s="3"/>
      <c r="K6" s="3"/>
      <c r="L6" s="3"/>
      <c r="M6" s="3"/>
      <c r="N6" s="3"/>
      <c r="O6" s="3"/>
    </row>
    <row r="7" customFormat="false" ht="12.75" hidden="false" customHeight="true" outlineLevel="0" collapsed="false">
      <c r="B7" s="4" t="s">
        <v>1</v>
      </c>
      <c r="C7" s="4"/>
      <c r="D7" s="4"/>
      <c r="E7" s="4"/>
      <c r="F7" s="4"/>
      <c r="G7" s="4"/>
      <c r="H7" s="4"/>
      <c r="I7" s="4"/>
      <c r="J7" s="4"/>
      <c r="K7" s="4"/>
      <c r="L7" s="4"/>
      <c r="M7" s="4"/>
      <c r="N7" s="4"/>
      <c r="O7" s="4"/>
    </row>
    <row r="8" customFormat="false" ht="12.8" hidden="false" customHeight="false" outlineLevel="0" collapsed="false">
      <c r="B8" s="4"/>
      <c r="C8" s="4"/>
      <c r="D8" s="4"/>
      <c r="E8" s="4"/>
      <c r="F8" s="4"/>
      <c r="G8" s="4"/>
      <c r="H8" s="4"/>
      <c r="I8" s="4"/>
      <c r="J8" s="4"/>
      <c r="K8" s="4"/>
      <c r="L8" s="4"/>
      <c r="M8" s="4"/>
      <c r="N8" s="4"/>
      <c r="O8" s="4"/>
    </row>
    <row r="9" customFormat="false" ht="12.8" hidden="false" customHeight="false" outlineLevel="0" collapsed="false">
      <c r="B9" s="4"/>
      <c r="C9" s="4"/>
      <c r="D9" s="4"/>
      <c r="E9" s="4"/>
      <c r="F9" s="4"/>
      <c r="G9" s="4"/>
      <c r="H9" s="4"/>
      <c r="I9" s="4"/>
      <c r="J9" s="4"/>
      <c r="K9" s="4"/>
      <c r="L9" s="4"/>
      <c r="M9" s="4"/>
      <c r="N9" s="4"/>
      <c r="O9" s="4"/>
    </row>
    <row r="10" customFormat="false" ht="12.8" hidden="false" customHeight="false" outlineLevel="0" collapsed="false">
      <c r="B10" s="4"/>
      <c r="C10" s="4"/>
      <c r="D10" s="4"/>
      <c r="E10" s="4"/>
      <c r="F10" s="4"/>
      <c r="G10" s="4"/>
      <c r="H10" s="4"/>
      <c r="I10" s="4"/>
      <c r="J10" s="4"/>
      <c r="K10" s="4"/>
      <c r="L10" s="4"/>
      <c r="M10" s="4"/>
      <c r="N10" s="4"/>
      <c r="O10" s="4"/>
    </row>
    <row r="11" customFormat="false" ht="12.8" hidden="false" customHeight="false" outlineLevel="0" collapsed="false"/>
    <row r="12" customFormat="false" ht="12.8" hidden="false" customHeight="false" outlineLevel="0" collapsed="false"/>
    <row r="13" customFormat="false" ht="13.8" hidden="false" customHeight="false" outlineLevel="0" collapsed="false">
      <c r="B13" s="6" t="s">
        <v>3</v>
      </c>
      <c r="C13" s="7"/>
      <c r="D13" s="7"/>
      <c r="E13" s="7"/>
      <c r="F13" s="7"/>
      <c r="G13" s="7"/>
      <c r="I13" s="8" t="s">
        <v>4</v>
      </c>
      <c r="J13" s="8"/>
      <c r="K13" s="8"/>
      <c r="L13" s="8"/>
      <c r="Q13" s="9" t="s">
        <v>5</v>
      </c>
      <c r="R13" s="9"/>
      <c r="S13" s="9"/>
      <c r="T13" s="9"/>
      <c r="U13" s="9"/>
      <c r="V13" s="9"/>
    </row>
    <row r="14" customFormat="false" ht="13.8" hidden="false" customHeight="true" outlineLevel="0" collapsed="false">
      <c r="B14" s="10" t="s">
        <v>6</v>
      </c>
      <c r="I14" s="11" t="s">
        <v>7</v>
      </c>
      <c r="J14" s="11"/>
      <c r="K14" s="11"/>
      <c r="L14" s="11"/>
      <c r="Q14" s="12" t="s">
        <v>8</v>
      </c>
      <c r="R14" s="12"/>
      <c r="S14" s="12"/>
      <c r="T14" s="12"/>
      <c r="U14" s="12"/>
      <c r="V14" s="12"/>
    </row>
    <row r="15" customFormat="false" ht="12.8" hidden="false" customHeight="false" outlineLevel="0" collapsed="false">
      <c r="I15" s="13" t="s">
        <v>9</v>
      </c>
      <c r="J15" s="13"/>
      <c r="K15" s="13"/>
      <c r="L15" s="13"/>
      <c r="Q15" s="12"/>
      <c r="R15" s="12"/>
      <c r="S15" s="12"/>
      <c r="T15" s="12"/>
      <c r="U15" s="12"/>
      <c r="V15" s="12"/>
    </row>
    <row r="16" customFormat="false" ht="13.8" hidden="false" customHeight="false" outlineLevel="0" collapsed="false">
      <c r="I16" s="14" t="s">
        <v>10</v>
      </c>
      <c r="J16" s="15"/>
      <c r="K16" s="72" t="s">
        <v>11</v>
      </c>
      <c r="L16" s="15"/>
      <c r="Q16" s="12"/>
      <c r="R16" s="12"/>
      <c r="S16" s="12"/>
      <c r="T16" s="12"/>
      <c r="U16" s="12"/>
      <c r="V16" s="12"/>
    </row>
    <row r="17" customFormat="false" ht="13.8" hidden="false" customHeight="false" outlineLevel="0" collapsed="false">
      <c r="I17" s="14" t="s">
        <v>12</v>
      </c>
      <c r="J17" s="15" t="s">
        <v>13</v>
      </c>
      <c r="K17" s="72" t="n">
        <f aca="false">140*3600</f>
        <v>504000</v>
      </c>
      <c r="L17" s="15" t="s">
        <v>14</v>
      </c>
      <c r="Q17" s="12"/>
      <c r="R17" s="12"/>
      <c r="S17" s="12"/>
      <c r="T17" s="12"/>
      <c r="U17" s="12"/>
      <c r="V17" s="12"/>
    </row>
    <row r="18" customFormat="false" ht="13.8" hidden="false" customHeight="false" outlineLevel="0" collapsed="false">
      <c r="C18" s="17"/>
      <c r="D18" s="18"/>
      <c r="E18" s="18"/>
      <c r="F18" s="19"/>
      <c r="I18" s="14" t="s">
        <v>15</v>
      </c>
      <c r="J18" s="15" t="s">
        <v>16</v>
      </c>
      <c r="K18" s="72" t="n">
        <v>985</v>
      </c>
      <c r="L18" s="15" t="s">
        <v>17</v>
      </c>
      <c r="Q18" s="20"/>
      <c r="V18" s="21"/>
    </row>
    <row r="19" customFormat="false" ht="13.8" hidden="false" customHeight="false" outlineLevel="0" collapsed="false">
      <c r="B19" s="1" t="s">
        <v>18</v>
      </c>
      <c r="C19" s="22"/>
      <c r="D19" s="23"/>
      <c r="E19" s="23"/>
      <c r="F19" s="24"/>
      <c r="G19" s="1" t="s">
        <v>19</v>
      </c>
      <c r="I19" s="14" t="s">
        <v>20</v>
      </c>
      <c r="J19" s="15" t="s">
        <v>21</v>
      </c>
      <c r="K19" s="72" t="n">
        <v>0.000509</v>
      </c>
      <c r="L19" s="15" t="s">
        <v>22</v>
      </c>
      <c r="Q19" s="20"/>
      <c r="V19" s="21"/>
    </row>
    <row r="20" customFormat="false" ht="13.8" hidden="false" customHeight="false" outlineLevel="0" collapsed="false">
      <c r="B20" s="10" t="n">
        <f aca="false">IF(K22="NA",K64,K22)</f>
        <v>65</v>
      </c>
      <c r="C20" s="22"/>
      <c r="D20" s="23"/>
      <c r="E20" s="23"/>
      <c r="F20" s="24"/>
      <c r="G20" s="10" t="n">
        <f aca="false">IF(K23="NA",K64,K23)</f>
        <v>45</v>
      </c>
      <c r="I20" s="14" t="s">
        <v>23</v>
      </c>
      <c r="J20" s="15" t="s">
        <v>24</v>
      </c>
      <c r="K20" s="72" t="n">
        <v>0.645</v>
      </c>
      <c r="L20" s="15" t="s">
        <v>25</v>
      </c>
      <c r="Q20" s="20"/>
      <c r="V20" s="21"/>
    </row>
    <row r="21" customFormat="false" ht="13.8" hidden="false" customHeight="false" outlineLevel="0" collapsed="false">
      <c r="C21" s="22"/>
      <c r="D21" s="23"/>
      <c r="E21" s="23"/>
      <c r="F21" s="24"/>
      <c r="I21" s="14" t="s">
        <v>26</v>
      </c>
      <c r="J21" s="15" t="s">
        <v>27</v>
      </c>
      <c r="K21" s="72" t="n">
        <v>4.183</v>
      </c>
      <c r="L21" s="15" t="s">
        <v>28</v>
      </c>
      <c r="Q21" s="20"/>
      <c r="V21" s="21"/>
    </row>
    <row r="22" customFormat="false" ht="13.8" hidden="false" customHeight="false" outlineLevel="0" collapsed="false">
      <c r="C22" s="22"/>
      <c r="D22" s="23"/>
      <c r="E22" s="23"/>
      <c r="F22" s="24"/>
      <c r="I22" s="14" t="s">
        <v>29</v>
      </c>
      <c r="J22" s="15" t="s">
        <v>30</v>
      </c>
      <c r="K22" s="72" t="n">
        <v>65</v>
      </c>
      <c r="L22" s="15" t="s">
        <v>31</v>
      </c>
      <c r="M22" s="1" t="n">
        <f aca="false">IF(K22="NA",1,0)</f>
        <v>0</v>
      </c>
      <c r="Q22" s="20"/>
      <c r="V22" s="21"/>
    </row>
    <row r="23" customFormat="false" ht="13.8" hidden="false" customHeight="false" outlineLevel="0" collapsed="false">
      <c r="C23" s="22"/>
      <c r="D23" s="23"/>
      <c r="E23" s="23"/>
      <c r="F23" s="24"/>
      <c r="I23" s="14" t="s">
        <v>32</v>
      </c>
      <c r="J23" s="15" t="s">
        <v>33</v>
      </c>
      <c r="K23" s="72" t="n">
        <v>45</v>
      </c>
      <c r="L23" s="15" t="s">
        <v>31</v>
      </c>
      <c r="M23" s="1" t="n">
        <f aca="false">IF(K23="NA",1,0)</f>
        <v>0</v>
      </c>
      <c r="Q23" s="20"/>
      <c r="V23" s="21"/>
    </row>
    <row r="24" customFormat="false" ht="13.8" hidden="false" customHeight="false" outlineLevel="0" collapsed="false">
      <c r="C24" s="22"/>
      <c r="D24" s="23"/>
      <c r="E24" s="23"/>
      <c r="F24" s="24"/>
      <c r="I24" s="25" t="s">
        <v>34</v>
      </c>
      <c r="J24" s="15"/>
      <c r="K24" s="72" t="s">
        <v>11</v>
      </c>
      <c r="L24" s="15"/>
      <c r="Q24" s="20"/>
      <c r="V24" s="21"/>
    </row>
    <row r="25" customFormat="false" ht="13.8" hidden="false" customHeight="false" outlineLevel="0" collapsed="false">
      <c r="C25" s="22"/>
      <c r="D25" s="23"/>
      <c r="E25" s="23"/>
      <c r="F25" s="24"/>
      <c r="I25" s="25" t="s">
        <v>35</v>
      </c>
      <c r="J25" s="15" t="s">
        <v>36</v>
      </c>
      <c r="K25" s="72" t="n">
        <f aca="false">140*3600</f>
        <v>504000</v>
      </c>
      <c r="L25" s="15" t="s">
        <v>14</v>
      </c>
      <c r="Q25" s="20"/>
      <c r="V25" s="21"/>
    </row>
    <row r="26" customFormat="false" ht="13.8" hidden="false" customHeight="true" outlineLevel="0" collapsed="false">
      <c r="B26" s="1" t="s">
        <v>37</v>
      </c>
      <c r="C26" s="26"/>
      <c r="D26" s="27"/>
      <c r="E26" s="27"/>
      <c r="F26" s="28"/>
      <c r="G26" s="1" t="s">
        <v>38</v>
      </c>
      <c r="I26" s="25" t="s">
        <v>39</v>
      </c>
      <c r="J26" s="15" t="s">
        <v>40</v>
      </c>
      <c r="K26" s="72" t="n">
        <v>995</v>
      </c>
      <c r="L26" s="15" t="s">
        <v>17</v>
      </c>
      <c r="Q26" s="20"/>
      <c r="V26" s="21"/>
    </row>
    <row r="27" customFormat="false" ht="13.8" hidden="false" customHeight="false" outlineLevel="0" collapsed="false">
      <c r="B27" s="29" t="n">
        <f aca="false">IF(K31="NA",K64,K31)</f>
        <v>42.0239348970799</v>
      </c>
      <c r="G27" s="10" t="n">
        <f aca="false">IF(K30="NA",K64,K30)</f>
        <v>22</v>
      </c>
      <c r="I27" s="25" t="s">
        <v>41</v>
      </c>
      <c r="J27" s="15" t="s">
        <v>42</v>
      </c>
      <c r="K27" s="72" t="n">
        <v>0.000766</v>
      </c>
      <c r="L27" s="15" t="s">
        <v>22</v>
      </c>
      <c r="Q27" s="20"/>
      <c r="V27" s="21"/>
    </row>
    <row r="28" customFormat="false" ht="13.8" hidden="false" customHeight="false" outlineLevel="0" collapsed="false">
      <c r="I28" s="25" t="s">
        <v>43</v>
      </c>
      <c r="J28" s="15" t="s">
        <v>44</v>
      </c>
      <c r="K28" s="72" t="n">
        <v>0.617</v>
      </c>
      <c r="L28" s="15" t="s">
        <v>45</v>
      </c>
      <c r="Q28" s="30"/>
      <c r="R28" s="31"/>
      <c r="S28" s="31"/>
      <c r="T28" s="31"/>
      <c r="U28" s="31"/>
      <c r="V28" s="32"/>
    </row>
    <row r="29" customFormat="false" ht="13.8" hidden="false" customHeight="false" outlineLevel="0" collapsed="false">
      <c r="I29" s="25" t="s">
        <v>46</v>
      </c>
      <c r="J29" s="15" t="s">
        <v>47</v>
      </c>
      <c r="K29" s="72" t="n">
        <v>4.178</v>
      </c>
      <c r="L29" s="15" t="s">
        <v>28</v>
      </c>
    </row>
    <row r="30" customFormat="false" ht="13.8" hidden="false" customHeight="false" outlineLevel="0" collapsed="false">
      <c r="I30" s="25" t="s">
        <v>48</v>
      </c>
      <c r="J30" s="15" t="s">
        <v>49</v>
      </c>
      <c r="K30" s="72" t="n">
        <v>22</v>
      </c>
      <c r="L30" s="15" t="s">
        <v>31</v>
      </c>
      <c r="M30" s="1" t="n">
        <f aca="false">IF(K30="NA",1,0)</f>
        <v>0</v>
      </c>
    </row>
    <row r="31" customFormat="false" ht="13.8" hidden="false" customHeight="false" outlineLevel="0" collapsed="false">
      <c r="I31" s="25" t="s">
        <v>50</v>
      </c>
      <c r="J31" s="15" t="s">
        <v>51</v>
      </c>
      <c r="K31" s="72" t="s">
        <v>52</v>
      </c>
      <c r="L31" s="15" t="s">
        <v>31</v>
      </c>
      <c r="M31" s="1" t="n">
        <f aca="false">IF(K31="NA",1,0)</f>
        <v>1</v>
      </c>
    </row>
    <row r="32" customFormat="false" ht="12.8" hidden="false" customHeight="false" outlineLevel="0" collapsed="false">
      <c r="I32" s="11" t="s">
        <v>53</v>
      </c>
      <c r="J32" s="11"/>
      <c r="K32" s="11"/>
      <c r="L32" s="11"/>
    </row>
    <row r="33" customFormat="false" ht="13.8" hidden="false" customHeight="false" outlineLevel="0" collapsed="false">
      <c r="B33" s="33"/>
      <c r="C33" s="34"/>
      <c r="D33" s="34"/>
      <c r="E33" s="34"/>
      <c r="F33" s="34"/>
      <c r="G33" s="34"/>
      <c r="H33" s="35"/>
      <c r="I33" s="15" t="s">
        <v>54</v>
      </c>
      <c r="J33" s="15"/>
      <c r="K33" s="72" t="s">
        <v>55</v>
      </c>
      <c r="L33" s="15"/>
    </row>
    <row r="34" customFormat="false" ht="13.8" hidden="false" customHeight="false" outlineLevel="0" collapsed="false">
      <c r="B34" s="20"/>
      <c r="H34" s="21"/>
      <c r="I34" s="15" t="s">
        <v>56</v>
      </c>
      <c r="J34" s="15" t="s">
        <v>57</v>
      </c>
      <c r="K34" s="36" t="n">
        <v>1</v>
      </c>
      <c r="L34" s="15"/>
    </row>
    <row r="35" customFormat="false" ht="13.8" hidden="false" customHeight="false" outlineLevel="0" collapsed="false">
      <c r="B35" s="20"/>
      <c r="H35" s="21"/>
      <c r="I35" s="15" t="s">
        <v>58</v>
      </c>
      <c r="J35" s="15"/>
      <c r="K35" s="72" t="s">
        <v>59</v>
      </c>
      <c r="L35" s="15"/>
    </row>
    <row r="36" customFormat="false" ht="13.8" hidden="false" customHeight="false" outlineLevel="0" collapsed="false">
      <c r="B36" s="20"/>
      <c r="H36" s="21"/>
      <c r="I36" s="15" t="s">
        <v>60</v>
      </c>
      <c r="J36" s="15" t="s">
        <v>61</v>
      </c>
      <c r="K36" s="72" t="n">
        <v>0.6</v>
      </c>
      <c r="L36" s="15" t="s">
        <v>62</v>
      </c>
    </row>
    <row r="37" customFormat="false" ht="13.8" hidden="false" customHeight="false" outlineLevel="0" collapsed="false">
      <c r="B37" s="20"/>
      <c r="H37" s="21"/>
      <c r="I37" s="15" t="s">
        <v>63</v>
      </c>
      <c r="J37" s="15" t="s">
        <v>64</v>
      </c>
      <c r="K37" s="72" t="n">
        <v>45</v>
      </c>
      <c r="L37" s="15" t="s">
        <v>65</v>
      </c>
    </row>
    <row r="38" customFormat="false" ht="13.8" hidden="false" customHeight="false" outlineLevel="0" collapsed="false">
      <c r="B38" s="20"/>
      <c r="H38" s="21"/>
      <c r="I38" s="15" t="s">
        <v>66</v>
      </c>
      <c r="J38" s="15" t="s">
        <v>67</v>
      </c>
      <c r="K38" s="72" t="n">
        <v>17.5</v>
      </c>
      <c r="L38" s="15" t="s">
        <v>68</v>
      </c>
    </row>
    <row r="39" customFormat="false" ht="24.05" hidden="false" customHeight="false" outlineLevel="0" collapsed="false">
      <c r="B39" s="20"/>
      <c r="H39" s="21"/>
      <c r="I39" s="37" t="s">
        <v>69</v>
      </c>
      <c r="J39" s="15" t="s">
        <v>70</v>
      </c>
      <c r="K39" s="72" t="n">
        <v>1.06</v>
      </c>
      <c r="L39" s="15" t="s">
        <v>71</v>
      </c>
    </row>
    <row r="40" customFormat="false" ht="13.8" hidden="false" customHeight="false" outlineLevel="0" collapsed="false">
      <c r="B40" s="20"/>
      <c r="H40" s="21"/>
      <c r="I40" s="15" t="s">
        <v>72</v>
      </c>
      <c r="J40" s="15" t="s">
        <v>73</v>
      </c>
      <c r="K40" s="72" t="n">
        <v>0.85</v>
      </c>
      <c r="L40" s="15" t="s">
        <v>71</v>
      </c>
    </row>
    <row r="41" customFormat="false" ht="13.8" hidden="false" customHeight="false" outlineLevel="0" collapsed="false">
      <c r="B41" s="20"/>
      <c r="H41" s="21"/>
      <c r="I41" s="15" t="s">
        <v>74</v>
      </c>
      <c r="J41" s="38" t="s">
        <v>75</v>
      </c>
      <c r="K41" s="39" t="n">
        <f aca="false">K39/K40</f>
        <v>1.24705882352941</v>
      </c>
      <c r="L41" s="15" t="s">
        <v>76</v>
      </c>
    </row>
    <row r="42" customFormat="false" ht="13.8" hidden="false" customHeight="false" outlineLevel="0" collapsed="false">
      <c r="B42" s="20"/>
      <c r="H42" s="21"/>
      <c r="I42" s="15" t="s">
        <v>77</v>
      </c>
      <c r="J42" s="15"/>
      <c r="K42" s="39" t="str">
        <f aca="false">IF(K41&lt;1.15,"Factor may be incorrect",IF(K41&gt;1.25,"Factor may be incorrect","Ok"))</f>
        <v>Ok</v>
      </c>
      <c r="L42" s="15" t="s">
        <v>76</v>
      </c>
    </row>
    <row r="43" customFormat="false" ht="13.8" hidden="false" customHeight="false" outlineLevel="0" collapsed="false">
      <c r="B43" s="20"/>
      <c r="H43" s="21"/>
      <c r="I43" s="15" t="s">
        <v>78</v>
      </c>
      <c r="J43" s="15" t="s">
        <v>79</v>
      </c>
      <c r="K43" s="72" t="n">
        <v>1.55</v>
      </c>
      <c r="L43" s="15" t="s">
        <v>80</v>
      </c>
    </row>
    <row r="44" customFormat="false" ht="13.8" hidden="false" customHeight="false" outlineLevel="0" collapsed="false">
      <c r="B44" s="20"/>
      <c r="H44" s="21"/>
      <c r="I44" s="15" t="s">
        <v>81</v>
      </c>
      <c r="J44" s="15" t="s">
        <v>82</v>
      </c>
      <c r="K44" s="72" t="n">
        <v>0.63</v>
      </c>
      <c r="L44" s="15" t="s">
        <v>80</v>
      </c>
      <c r="M44" s="1" t="n">
        <f aca="false">K44*K45/1000</f>
        <v>0.00189</v>
      </c>
    </row>
    <row r="45" customFormat="false" ht="13.8" hidden="false" customHeight="false" outlineLevel="0" collapsed="false">
      <c r="B45" s="20"/>
      <c r="H45" s="21"/>
      <c r="I45" s="15" t="s">
        <v>83</v>
      </c>
      <c r="J45" s="15" t="s">
        <v>84</v>
      </c>
      <c r="K45" s="72" t="n">
        <v>3</v>
      </c>
      <c r="L45" s="15" t="s">
        <v>62</v>
      </c>
    </row>
    <row r="46" customFormat="false" ht="13.8" hidden="false" customHeight="false" outlineLevel="0" collapsed="false">
      <c r="B46" s="20"/>
      <c r="H46" s="21"/>
      <c r="I46" s="15" t="s">
        <v>85</v>
      </c>
      <c r="J46" s="15"/>
      <c r="K46" s="72" t="n">
        <f aca="false">K44*K45/1000</f>
        <v>0.00189</v>
      </c>
      <c r="L46" s="15" t="s">
        <v>71</v>
      </c>
    </row>
    <row r="47" customFormat="false" ht="13.8" hidden="false" customHeight="false" outlineLevel="0" collapsed="false">
      <c r="B47" s="20"/>
      <c r="H47" s="21"/>
      <c r="I47" s="15" t="s">
        <v>86</v>
      </c>
      <c r="J47" s="15" t="s">
        <v>87</v>
      </c>
      <c r="K47" s="72" t="n">
        <v>200</v>
      </c>
      <c r="L47" s="15" t="s">
        <v>62</v>
      </c>
    </row>
    <row r="48" customFormat="false" ht="13.8" hidden="false" customHeight="false" outlineLevel="0" collapsed="false">
      <c r="B48" s="20"/>
      <c r="H48" s="21"/>
      <c r="I48" s="15" t="s">
        <v>88</v>
      </c>
      <c r="J48" s="15" t="s">
        <v>89</v>
      </c>
      <c r="K48" s="72" t="n">
        <v>200</v>
      </c>
      <c r="L48" s="15" t="s">
        <v>62</v>
      </c>
    </row>
    <row r="49" customFormat="false" ht="13.8" hidden="false" customHeight="false" outlineLevel="0" collapsed="false">
      <c r="B49" s="20"/>
      <c r="H49" s="21"/>
      <c r="I49" s="15" t="s">
        <v>90</v>
      </c>
      <c r="J49" s="15" t="s">
        <v>91</v>
      </c>
      <c r="K49" s="72" t="n">
        <v>5E-005</v>
      </c>
      <c r="L49" s="15" t="s">
        <v>92</v>
      </c>
    </row>
    <row r="50" customFormat="false" ht="13.8" hidden="false" customHeight="false" outlineLevel="0" collapsed="false">
      <c r="B50" s="30"/>
      <c r="C50" s="31"/>
      <c r="D50" s="31"/>
      <c r="E50" s="31"/>
      <c r="F50" s="31"/>
      <c r="G50" s="31"/>
      <c r="H50" s="32"/>
      <c r="I50" s="15" t="s">
        <v>93</v>
      </c>
      <c r="J50" s="15" t="s">
        <v>94</v>
      </c>
      <c r="K50" s="72" t="n">
        <v>0</v>
      </c>
      <c r="L50" s="15" t="s">
        <v>92</v>
      </c>
    </row>
    <row r="51" customFormat="false" ht="12.8" hidden="false" customHeight="true" outlineLevel="0" collapsed="false">
      <c r="B51" s="40" t="s">
        <v>95</v>
      </c>
      <c r="C51" s="40"/>
      <c r="D51" s="40"/>
      <c r="E51" s="40"/>
      <c r="F51" s="40"/>
      <c r="G51" s="40"/>
      <c r="H51" s="40"/>
      <c r="I51" s="40"/>
      <c r="J51" s="40"/>
      <c r="K51" s="40"/>
      <c r="L51" s="40"/>
    </row>
    <row r="52" customFormat="false" ht="12.8" hidden="false" customHeight="false" outlineLevel="0" collapsed="false">
      <c r="B52" s="40"/>
      <c r="C52" s="40"/>
      <c r="D52" s="40"/>
      <c r="E52" s="40"/>
      <c r="F52" s="40"/>
      <c r="G52" s="40"/>
      <c r="H52" s="40"/>
      <c r="I52" s="40"/>
      <c r="J52" s="40"/>
      <c r="K52" s="40"/>
      <c r="L52" s="40"/>
    </row>
    <row r="53" customFormat="false" ht="12.8" hidden="false" customHeight="false" outlineLevel="0" collapsed="false">
      <c r="B53" s="40"/>
      <c r="C53" s="40"/>
      <c r="D53" s="40"/>
      <c r="E53" s="40"/>
      <c r="F53" s="40"/>
      <c r="G53" s="40"/>
      <c r="H53" s="40"/>
      <c r="I53" s="40"/>
      <c r="J53" s="40"/>
      <c r="K53" s="40"/>
      <c r="L53" s="40"/>
    </row>
    <row r="54" customFormat="false" ht="12.8" hidden="false" customHeight="false" outlineLevel="0" collapsed="false"/>
    <row r="55" customFormat="false" ht="24.05" hidden="false" customHeight="true" outlineLevel="0" collapsed="false">
      <c r="B55" s="41" t="s">
        <v>96</v>
      </c>
      <c r="C55" s="42"/>
      <c r="D55" s="42"/>
      <c r="E55" s="42"/>
      <c r="F55" s="42"/>
      <c r="G55" s="43" t="s">
        <v>97</v>
      </c>
      <c r="H55" s="44"/>
      <c r="I55" s="45" t="s">
        <v>98</v>
      </c>
      <c r="J55" s="45"/>
      <c r="K55" s="45"/>
      <c r="L55" s="45"/>
    </row>
    <row r="56" customFormat="false" ht="13.8" hidden="false" customHeight="false" outlineLevel="0" collapsed="false">
      <c r="B56" s="46" t="s">
        <v>99</v>
      </c>
      <c r="C56" s="47"/>
      <c r="D56" s="47"/>
      <c r="E56" s="47"/>
      <c r="F56" s="47"/>
      <c r="G56" s="48" t="s">
        <v>100</v>
      </c>
      <c r="H56" s="49"/>
      <c r="I56" s="15" t="s">
        <v>101</v>
      </c>
      <c r="J56" s="15" t="s">
        <v>102</v>
      </c>
      <c r="K56" s="72" t="n">
        <v>4500</v>
      </c>
      <c r="L56" s="15" t="s">
        <v>103</v>
      </c>
      <c r="N56" s="50" t="s">
        <v>104</v>
      </c>
      <c r="O56" s="51"/>
      <c r="P56" s="52"/>
      <c r="Q56" s="53"/>
    </row>
    <row r="57" customFormat="false" ht="13.8" hidden="false" customHeight="false" outlineLevel="0" collapsed="false">
      <c r="B57" s="46"/>
      <c r="C57" s="47"/>
      <c r="D57" s="47"/>
      <c r="E57" s="47"/>
      <c r="F57" s="47"/>
      <c r="G57" s="48"/>
      <c r="H57" s="49"/>
      <c r="I57" s="15" t="s">
        <v>105</v>
      </c>
      <c r="J57" s="15"/>
      <c r="K57" s="72" t="n">
        <v>3</v>
      </c>
      <c r="L57" s="15" t="s">
        <v>106</v>
      </c>
      <c r="M57" s="54"/>
      <c r="N57" s="55" t="s">
        <v>107</v>
      </c>
      <c r="O57" s="53"/>
      <c r="P57" s="56"/>
      <c r="Q57" s="53"/>
    </row>
    <row r="58" customFormat="false" ht="13.8" hidden="false" customHeight="false" outlineLevel="0" collapsed="false">
      <c r="B58" s="46" t="s">
        <v>108</v>
      </c>
      <c r="C58" s="47"/>
      <c r="D58" s="47"/>
      <c r="E58" s="47"/>
      <c r="F58" s="47"/>
      <c r="G58" s="48" t="s">
        <v>109</v>
      </c>
      <c r="I58" s="15" t="s">
        <v>110</v>
      </c>
      <c r="J58" s="15"/>
      <c r="K58" s="72" t="n">
        <v>3</v>
      </c>
      <c r="L58" s="15" t="s">
        <v>106</v>
      </c>
      <c r="M58" s="57"/>
      <c r="N58" s="55" t="s">
        <v>111</v>
      </c>
      <c r="O58" s="53"/>
      <c r="P58" s="56"/>
      <c r="Q58" s="53"/>
    </row>
    <row r="59" customFormat="false" ht="12.8" hidden="false" customHeight="false" outlineLevel="0" collapsed="false">
      <c r="B59" s="46" t="s">
        <v>112</v>
      </c>
      <c r="C59" s="58"/>
      <c r="D59" s="58"/>
      <c r="E59" s="58"/>
      <c r="F59" s="58"/>
      <c r="G59" s="59" t="s">
        <v>113</v>
      </c>
      <c r="I59" s="60" t="s">
        <v>114</v>
      </c>
      <c r="J59" s="60"/>
      <c r="K59" s="60"/>
      <c r="L59" s="60"/>
      <c r="N59" s="61" t="s">
        <v>115</v>
      </c>
      <c r="O59" s="62"/>
      <c r="P59" s="63"/>
      <c r="Q59" s="53"/>
    </row>
    <row r="60" customFormat="false" ht="13.8" hidden="false" customHeight="false" outlineLevel="0" collapsed="false">
      <c r="B60" s="64" t="s">
        <v>116</v>
      </c>
      <c r="C60" s="65"/>
      <c r="D60" s="65"/>
      <c r="E60" s="65"/>
      <c r="F60" s="65"/>
      <c r="G60" s="66"/>
      <c r="I60" s="15" t="s">
        <v>117</v>
      </c>
      <c r="J60" s="15" t="s">
        <v>118</v>
      </c>
      <c r="K60" s="39" t="n">
        <f aca="false">IF(M22+M23=0,K17*K21*1000*(K22-K23)/1000/3600,IF(M30+M31=0,K25*K25*(K31-K30)/1000/3600,"Data incomplete"))</f>
        <v>11712.4</v>
      </c>
      <c r="L60" s="15" t="s">
        <v>119</v>
      </c>
      <c r="Q60" s="53"/>
    </row>
    <row r="61" customFormat="false" ht="12.8" hidden="false" customHeight="false" outlineLevel="0" collapsed="false">
      <c r="D61" s="47"/>
      <c r="E61" s="47"/>
      <c r="I61" s="13" t="s">
        <v>120</v>
      </c>
      <c r="J61" s="13"/>
      <c r="K61" s="13"/>
      <c r="L61" s="13"/>
      <c r="Q61" s="53"/>
    </row>
    <row r="62" customFormat="false" ht="13.8" hidden="false" customHeight="false" outlineLevel="0" collapsed="false">
      <c r="D62" s="47"/>
      <c r="E62" s="47"/>
      <c r="I62" s="15" t="s">
        <v>121</v>
      </c>
      <c r="J62" s="15"/>
      <c r="K62" s="39" t="str">
        <f aca="false">IF(M22+M23=1,"Hot","Cold")</f>
        <v>Cold</v>
      </c>
      <c r="L62" s="15"/>
      <c r="Q62" s="53"/>
    </row>
    <row r="63" customFormat="false" ht="13.8" hidden="false" customHeight="false" outlineLevel="0" collapsed="false">
      <c r="D63" s="47"/>
      <c r="E63" s="47"/>
      <c r="I63" s="15"/>
      <c r="J63" s="15"/>
      <c r="K63" s="39" t="str">
        <f aca="false">IF(K62="Hot",IF(M22=1,"inlet","outlet"),IF(M30=1,"inlet","outlet"))</f>
        <v>outlet</v>
      </c>
      <c r="L63" s="15"/>
      <c r="Q63" s="53"/>
    </row>
    <row r="64" customFormat="false" ht="13.8" hidden="false" customHeight="false" outlineLevel="0" collapsed="false">
      <c r="D64" s="47"/>
      <c r="E64" s="47"/>
      <c r="I64" s="15"/>
      <c r="J64" s="15"/>
      <c r="K64" s="39" t="n">
        <f aca="false">IF(K62="Cold",IF(K63="outlet",K60/(K25/3600*K29*1000/1000)+K30,-(K60/(K25/3600*K29*1000/1000)-K31)),IF(K63="outlet",-(K60/(K17/3600*K17/1000)-K22),K60/(K17/3600*K17/1000)+K23))</f>
        <v>42.0239348970799</v>
      </c>
      <c r="L64" s="15" t="s">
        <v>31</v>
      </c>
      <c r="Q64" s="53"/>
    </row>
    <row r="65" customFormat="false" ht="13.8" hidden="false" customHeight="false" outlineLevel="0" collapsed="false">
      <c r="D65" s="47"/>
      <c r="E65" s="47"/>
      <c r="I65" s="15" t="s">
        <v>122</v>
      </c>
      <c r="J65" s="15"/>
      <c r="K65" s="39" t="str">
        <f aca="false">IF(ABS(M65-M66)/M66*100&lt;1,"Ok","Not OK")</f>
        <v>Ok</v>
      </c>
      <c r="L65" s="15"/>
      <c r="M65" s="1" t="n">
        <f aca="false">K25*K29*1000*(B27-G27)</f>
        <v>42164640000</v>
      </c>
      <c r="Q65" s="53"/>
    </row>
    <row r="66" customFormat="false" ht="12.8" hidden="false" customHeight="false" outlineLevel="0" collapsed="false">
      <c r="D66" s="47"/>
      <c r="E66" s="47"/>
      <c r="I66" s="13" t="s">
        <v>123</v>
      </c>
      <c r="J66" s="13"/>
      <c r="K66" s="13"/>
      <c r="L66" s="13"/>
      <c r="M66" s="1" t="n">
        <f aca="false">K17*K21*1000*(B20-G20)</f>
        <v>42164640000</v>
      </c>
      <c r="Q66" s="53"/>
    </row>
    <row r="67" customFormat="false" ht="13.8" hidden="false" customHeight="false" outlineLevel="0" collapsed="false">
      <c r="D67" s="47"/>
      <c r="E67" s="47"/>
      <c r="I67" s="15"/>
      <c r="J67" s="15" t="s">
        <v>124</v>
      </c>
      <c r="K67" s="39" t="n">
        <f aca="false">((B20-B27)-(G20-G27))/LN((B20-B27)/(G20-G27))</f>
        <v>22.9880304747297</v>
      </c>
      <c r="L67" s="15" t="s">
        <v>31</v>
      </c>
      <c r="Q67" s="53"/>
    </row>
    <row r="68" customFormat="false" ht="13.8" hidden="false" customHeight="false" outlineLevel="0" collapsed="false">
      <c r="D68" s="47"/>
      <c r="E68" s="47"/>
      <c r="I68" s="15" t="s">
        <v>125</v>
      </c>
      <c r="J68" s="15" t="s">
        <v>126</v>
      </c>
      <c r="K68" s="39" t="n">
        <f aca="false">K60/(K56/1000*K67)</f>
        <v>113.222207462128</v>
      </c>
      <c r="L68" s="15" t="s">
        <v>71</v>
      </c>
      <c r="Q68" s="53"/>
    </row>
    <row r="69" customFormat="false" ht="12.8" hidden="false" customHeight="false" outlineLevel="0" collapsed="false">
      <c r="D69" s="47"/>
      <c r="E69" s="47"/>
      <c r="Q69" s="53"/>
    </row>
    <row r="70" customFormat="false" ht="12.8" hidden="false" customHeight="false" outlineLevel="0" collapsed="false">
      <c r="D70" s="47"/>
      <c r="E70" s="47"/>
      <c r="I70" s="60" t="s">
        <v>127</v>
      </c>
      <c r="J70" s="60"/>
      <c r="K70" s="60"/>
      <c r="L70" s="60"/>
      <c r="Q70" s="53"/>
    </row>
    <row r="71" customFormat="false" ht="13.8" hidden="false" customHeight="false" outlineLevel="0" collapsed="false">
      <c r="D71" s="47"/>
      <c r="E71" s="47"/>
      <c r="I71" s="15" t="s">
        <v>128</v>
      </c>
      <c r="J71" s="15" t="s">
        <v>129</v>
      </c>
      <c r="K71" s="67" t="n">
        <f aca="false">4*K45/1000*K44/(2*K45/1000+2*K44*K41)</f>
        <v>0.00479301857238756</v>
      </c>
      <c r="L71" s="15" t="s">
        <v>80</v>
      </c>
      <c r="Q71" s="53"/>
    </row>
    <row r="72" customFormat="false" ht="13.8" hidden="false" customHeight="false" outlineLevel="0" collapsed="false">
      <c r="D72" s="47"/>
      <c r="E72" s="47"/>
      <c r="I72" s="15" t="s">
        <v>130</v>
      </c>
      <c r="J72" s="15" t="s">
        <v>131</v>
      </c>
      <c r="K72" s="39" t="n">
        <f aca="false">ODD(ROUND(K68/K39,0))</f>
        <v>107</v>
      </c>
      <c r="L72" s="15" t="s">
        <v>132</v>
      </c>
      <c r="Q72" s="53"/>
    </row>
    <row r="73" customFormat="false" ht="13.8" hidden="false" customHeight="false" outlineLevel="0" collapsed="false">
      <c r="D73" s="47"/>
      <c r="E73" s="47"/>
      <c r="I73" s="15" t="s">
        <v>133</v>
      </c>
      <c r="J73" s="15" t="s">
        <v>134</v>
      </c>
      <c r="K73" s="39" t="n">
        <f aca="false">(K72-1)/2</f>
        <v>53</v>
      </c>
      <c r="L73" s="15" t="s">
        <v>135</v>
      </c>
      <c r="Q73" s="53"/>
    </row>
    <row r="74" customFormat="false" ht="12.8" hidden="false" customHeight="false" outlineLevel="0" collapsed="false">
      <c r="D74" s="47"/>
      <c r="E74" s="47"/>
      <c r="Q74" s="53"/>
    </row>
    <row r="75" customFormat="false" ht="12.8" hidden="false" customHeight="false" outlineLevel="0" collapsed="false">
      <c r="D75" s="47"/>
      <c r="E75" s="47"/>
      <c r="I75" s="60" t="s">
        <v>136</v>
      </c>
      <c r="J75" s="60"/>
      <c r="K75" s="60"/>
      <c r="L75" s="60"/>
      <c r="Q75" s="53"/>
    </row>
    <row r="76" customFormat="false" ht="13.8" hidden="false" customHeight="false" outlineLevel="0" collapsed="false">
      <c r="D76" s="47"/>
      <c r="E76" s="47"/>
      <c r="I76" s="15" t="s">
        <v>137</v>
      </c>
      <c r="J76" s="15" t="s">
        <v>138</v>
      </c>
      <c r="K76" s="39" t="n">
        <f aca="false">(K17/(K18*K73*(K44*K45/1000)))/3600</f>
        <v>1.41890765394261</v>
      </c>
      <c r="L76" s="15" t="s">
        <v>139</v>
      </c>
      <c r="M76" s="1" t="n">
        <f aca="false">K76/M44</f>
        <v>750.744790445826</v>
      </c>
      <c r="Q76" s="53"/>
    </row>
    <row r="77" customFormat="false" ht="13.8" hidden="false" customHeight="false" outlineLevel="0" collapsed="false">
      <c r="D77" s="47"/>
      <c r="E77" s="47"/>
      <c r="I77" s="15" t="s">
        <v>140</v>
      </c>
      <c r="J77" s="15" t="s">
        <v>141</v>
      </c>
      <c r="K77" s="39" t="n">
        <f aca="false">(K25/(K26*K73*(K44*K45/1000)))/3600</f>
        <v>1.40464727551103</v>
      </c>
      <c r="L77" s="15" t="s">
        <v>139</v>
      </c>
      <c r="M77" s="1" t="n">
        <f aca="false">K76*K18</f>
        <v>1397.62403913347</v>
      </c>
      <c r="Q77" s="53"/>
    </row>
    <row r="78" customFormat="false" ht="13.8" hidden="false" customHeight="false" outlineLevel="0" collapsed="false">
      <c r="D78" s="47"/>
      <c r="E78" s="47"/>
      <c r="I78" s="15" t="s">
        <v>142</v>
      </c>
      <c r="J78" s="15" t="s">
        <v>143</v>
      </c>
      <c r="K78" s="39" t="n">
        <f aca="false">K17/3600/K46/K73</f>
        <v>1397.62403913347</v>
      </c>
      <c r="L78" s="15" t="s">
        <v>144</v>
      </c>
      <c r="Q78" s="53"/>
    </row>
    <row r="79" customFormat="false" ht="13.8" hidden="false" customHeight="false" outlineLevel="0" collapsed="false">
      <c r="D79" s="47"/>
      <c r="E79" s="47"/>
      <c r="I79" s="15" t="s">
        <v>145</v>
      </c>
      <c r="J79" s="15" t="s">
        <v>146</v>
      </c>
      <c r="K79" s="39" t="n">
        <f aca="false">K25/3600/K46/K73</f>
        <v>1397.62403913347</v>
      </c>
      <c r="L79" s="15" t="s">
        <v>144</v>
      </c>
      <c r="Q79" s="53"/>
    </row>
    <row r="80" customFormat="false" ht="13.8" hidden="false" customHeight="false" outlineLevel="0" collapsed="false">
      <c r="D80" s="47"/>
      <c r="E80" s="47"/>
      <c r="I80" s="15" t="s">
        <v>147</v>
      </c>
      <c r="J80" s="15" t="s">
        <v>148</v>
      </c>
      <c r="K80" s="39" t="n">
        <f aca="false">K71*K76*K18/K19</f>
        <v>13160.781879729</v>
      </c>
      <c r="L80" s="15"/>
      <c r="Q80" s="53"/>
    </row>
    <row r="81" customFormat="false" ht="13.8" hidden="false" customHeight="false" outlineLevel="0" collapsed="false">
      <c r="D81" s="47"/>
      <c r="E81" s="47"/>
      <c r="I81" s="15" t="s">
        <v>149</v>
      </c>
      <c r="J81" s="15" t="s">
        <v>150</v>
      </c>
      <c r="K81" s="39" t="n">
        <f aca="false">K71*K77*K26/K27</f>
        <v>8745.21929083819</v>
      </c>
      <c r="L81" s="15"/>
      <c r="Q81" s="53"/>
    </row>
    <row r="82" customFormat="false" ht="12.8" hidden="false" customHeight="false" outlineLevel="0" collapsed="false">
      <c r="D82" s="47"/>
      <c r="E82" s="47"/>
      <c r="I82" s="13" t="s">
        <v>151</v>
      </c>
      <c r="J82" s="13"/>
      <c r="K82" s="13"/>
      <c r="L82" s="13"/>
      <c r="Q82" s="53"/>
    </row>
    <row r="83" customFormat="false" ht="13.8" hidden="false" customHeight="false" outlineLevel="0" collapsed="false">
      <c r="D83" s="47"/>
      <c r="E83" s="47"/>
      <c r="I83" s="15" t="s">
        <v>152</v>
      </c>
      <c r="J83" s="15" t="s">
        <v>153</v>
      </c>
      <c r="K83" s="72" t="n">
        <v>0.3</v>
      </c>
      <c r="L83" s="15"/>
      <c r="Q83" s="53"/>
    </row>
    <row r="84" customFormat="false" ht="13.8" hidden="false" customHeight="false" outlineLevel="0" collapsed="false">
      <c r="D84" s="47"/>
      <c r="E84" s="47"/>
      <c r="I84" s="15" t="s">
        <v>154</v>
      </c>
      <c r="J84" s="15" t="s">
        <v>84</v>
      </c>
      <c r="K84" s="72" t="n">
        <v>0.663</v>
      </c>
      <c r="L84" s="15"/>
      <c r="Q84" s="53"/>
    </row>
    <row r="85" customFormat="false" ht="13.8" hidden="false" customHeight="false" outlineLevel="0" collapsed="false">
      <c r="D85" s="47"/>
      <c r="E85" s="47"/>
      <c r="I85" s="15" t="s">
        <v>155</v>
      </c>
      <c r="J85" s="15" t="s">
        <v>156</v>
      </c>
      <c r="K85" s="39" t="n">
        <f aca="false">K19*K21*1000/K20</f>
        <v>3.30100310077519</v>
      </c>
      <c r="L85" s="15"/>
      <c r="Q85" s="53"/>
    </row>
    <row r="86" customFormat="false" ht="13.8" hidden="false" customHeight="false" outlineLevel="0" collapsed="false">
      <c r="D86" s="47"/>
      <c r="E86" s="47"/>
      <c r="I86" s="15" t="s">
        <v>157</v>
      </c>
      <c r="J86" s="15" t="s">
        <v>158</v>
      </c>
      <c r="K86" s="39" t="n">
        <f aca="false">K27*K29*1000/K28</f>
        <v>5.18694975688817</v>
      </c>
      <c r="L86" s="15"/>
      <c r="Q86" s="53"/>
    </row>
    <row r="87" customFormat="false" ht="12.8" hidden="false" customHeight="false" outlineLevel="0" collapsed="false">
      <c r="D87" s="47"/>
      <c r="E87" s="47"/>
      <c r="I87" s="13" t="s">
        <v>159</v>
      </c>
      <c r="J87" s="13"/>
      <c r="K87" s="13"/>
      <c r="L87" s="13"/>
      <c r="Q87" s="53"/>
    </row>
    <row r="88" customFormat="false" ht="13.8" hidden="false" customHeight="false" outlineLevel="0" collapsed="false">
      <c r="D88" s="47"/>
      <c r="E88" s="47"/>
      <c r="I88" s="15" t="s">
        <v>160</v>
      </c>
      <c r="J88" s="15" t="s">
        <v>161</v>
      </c>
      <c r="K88" s="39" t="n">
        <f aca="false">K83*K80^K84*K85^0.33</f>
        <v>239.529039931243</v>
      </c>
      <c r="L88" s="15"/>
      <c r="Q88" s="53"/>
    </row>
    <row r="89" customFormat="false" ht="13.8" hidden="false" customHeight="false" outlineLevel="0" collapsed="false">
      <c r="D89" s="47"/>
      <c r="E89" s="47"/>
      <c r="I89" s="15" t="s">
        <v>162</v>
      </c>
      <c r="J89" s="15" t="s">
        <v>163</v>
      </c>
      <c r="K89" s="39" t="n">
        <f aca="false">K83*K81^K84*K86^0.33</f>
        <v>212.048988495599</v>
      </c>
      <c r="L89" s="15"/>
      <c r="Q89" s="53"/>
    </row>
    <row r="90" customFormat="false" ht="13.8" hidden="false" customHeight="false" outlineLevel="0" collapsed="false">
      <c r="D90" s="47"/>
      <c r="E90" s="47"/>
      <c r="I90" s="15" t="s">
        <v>164</v>
      </c>
      <c r="J90" s="15" t="s">
        <v>165</v>
      </c>
      <c r="K90" s="39" t="n">
        <f aca="false">K88*K20/K71</f>
        <v>32233.5973504672</v>
      </c>
      <c r="L90" s="15" t="s">
        <v>103</v>
      </c>
      <c r="Q90" s="53"/>
    </row>
    <row r="91" customFormat="false" ht="13.8" hidden="false" customHeight="false" outlineLevel="0" collapsed="false">
      <c r="D91" s="47"/>
      <c r="E91" s="47"/>
      <c r="I91" s="15" t="s">
        <v>166</v>
      </c>
      <c r="J91" s="15" t="s">
        <v>167</v>
      </c>
      <c r="K91" s="39" t="n">
        <f aca="false">K89*K28/K71</f>
        <v>27296.8326589671</v>
      </c>
      <c r="L91" s="15" t="s">
        <v>103</v>
      </c>
      <c r="Q91" s="53"/>
    </row>
    <row r="92" customFormat="false" ht="13.8" hidden="false" customHeight="false" outlineLevel="0" collapsed="false">
      <c r="D92" s="47"/>
      <c r="E92" s="47"/>
      <c r="F92" s="47"/>
      <c r="G92" s="47"/>
      <c r="H92" s="47"/>
      <c r="I92" s="15" t="s">
        <v>168</v>
      </c>
      <c r="J92" s="15" t="s">
        <v>169</v>
      </c>
      <c r="K92" s="39" t="n">
        <f aca="false">1/(1/K90+1/K91+K36/1000/K38)</f>
        <v>9809.35210164225</v>
      </c>
      <c r="L92" s="15" t="s">
        <v>103</v>
      </c>
      <c r="Q92" s="53"/>
    </row>
    <row r="93" customFormat="false" ht="13.8" hidden="false" customHeight="false" outlineLevel="0" collapsed="false">
      <c r="D93" s="47"/>
      <c r="E93" s="47"/>
      <c r="F93" s="47"/>
      <c r="G93" s="47"/>
      <c r="H93" s="47"/>
      <c r="I93" s="15" t="s">
        <v>170</v>
      </c>
      <c r="J93" s="15" t="s">
        <v>171</v>
      </c>
      <c r="K93" s="68" t="n">
        <f aca="false">1/(1/K90+1/K91+K36/1000/K38+K49+K50)</f>
        <v>6581.39235512055</v>
      </c>
      <c r="L93" s="15" t="s">
        <v>103</v>
      </c>
      <c r="Q93" s="53"/>
    </row>
    <row r="94" customFormat="false" ht="13.8" hidden="false" customHeight="false" outlineLevel="0" collapsed="false">
      <c r="I94" s="15" t="s">
        <v>172</v>
      </c>
      <c r="J94" s="15"/>
      <c r="K94" s="68" t="n">
        <f aca="false">(K93*K68*K67)/(K56*K68*K67)</f>
        <v>1.46253163447123</v>
      </c>
      <c r="L94" s="15"/>
      <c r="Q94" s="53"/>
    </row>
    <row r="95" customFormat="false" ht="12.8" hidden="false" customHeight="false" outlineLevel="0" collapsed="false">
      <c r="Q95" s="53"/>
    </row>
    <row r="96" customFormat="false" ht="12.8" hidden="false" customHeight="false" outlineLevel="0" collapsed="false">
      <c r="I96" s="60" t="s">
        <v>173</v>
      </c>
      <c r="J96" s="60"/>
      <c r="K96" s="60"/>
      <c r="L96" s="60"/>
      <c r="Q96" s="53"/>
    </row>
    <row r="97" customFormat="false" ht="12.8" hidden="false" customHeight="false" outlineLevel="0" collapsed="false">
      <c r="I97" s="13" t="s">
        <v>151</v>
      </c>
      <c r="J97" s="13"/>
      <c r="K97" s="13"/>
      <c r="L97" s="13"/>
      <c r="Q97" s="53"/>
    </row>
    <row r="98" customFormat="false" ht="13.8" hidden="false" customHeight="false" outlineLevel="0" collapsed="false">
      <c r="I98" s="15" t="s">
        <v>174</v>
      </c>
      <c r="J98" s="15" t="s">
        <v>175</v>
      </c>
      <c r="K98" s="72" t="n">
        <v>1.441</v>
      </c>
      <c r="L98" s="15"/>
      <c r="Q98" s="53"/>
    </row>
    <row r="99" customFormat="false" ht="13.8" hidden="false" customHeight="false" outlineLevel="0" collapsed="false">
      <c r="I99" s="15" t="s">
        <v>176</v>
      </c>
      <c r="J99" s="15" t="s">
        <v>80</v>
      </c>
      <c r="K99" s="72" t="n">
        <v>0.206</v>
      </c>
      <c r="L99" s="15"/>
      <c r="Q99" s="53"/>
    </row>
    <row r="100" customFormat="false" ht="13.8" hidden="false" customHeight="false" outlineLevel="0" collapsed="false">
      <c r="I100" s="15" t="s">
        <v>177</v>
      </c>
      <c r="J100" s="15" t="s">
        <v>178</v>
      </c>
      <c r="K100" s="39" t="n">
        <f aca="false">K98/K80^K99</f>
        <v>0.204217028391851</v>
      </c>
      <c r="L100" s="15"/>
      <c r="Q100" s="53"/>
    </row>
    <row r="101" customFormat="false" ht="13.8" hidden="false" customHeight="false" outlineLevel="0" collapsed="false">
      <c r="I101" s="15" t="s">
        <v>179</v>
      </c>
      <c r="J101" s="15" t="s">
        <v>180</v>
      </c>
      <c r="K101" s="39" t="n">
        <f aca="false">K98/K81^K99</f>
        <v>0.222156597771348</v>
      </c>
      <c r="L101" s="15"/>
      <c r="Q101" s="53"/>
    </row>
    <row r="102" customFormat="false" ht="13.8" hidden="false" customHeight="false" outlineLevel="0" collapsed="false">
      <c r="I102" s="15" t="s">
        <v>181</v>
      </c>
      <c r="J102" s="15" t="s">
        <v>182</v>
      </c>
      <c r="K102" s="39" t="n">
        <f aca="false">4*K100*K43*1/K71*(K78^2/(2*K18))</f>
        <v>261932.282656682</v>
      </c>
      <c r="L102" s="15" t="s">
        <v>183</v>
      </c>
      <c r="Q102" s="53"/>
    </row>
    <row r="103" customFormat="false" ht="13.8" hidden="false" customHeight="false" outlineLevel="0" collapsed="false">
      <c r="I103" s="15" t="s">
        <v>184</v>
      </c>
      <c r="J103" s="15" t="s">
        <v>185</v>
      </c>
      <c r="K103" s="39" t="n">
        <f aca="false">4*K101*K43*1/K71*(K79^2/(2*K26))</f>
        <v>282078.146213678</v>
      </c>
      <c r="L103" s="15" t="s">
        <v>183</v>
      </c>
      <c r="Q103" s="53"/>
    </row>
    <row r="104" customFormat="false" ht="13.8" hidden="false" customHeight="false" outlineLevel="0" collapsed="false">
      <c r="I104" s="15" t="s">
        <v>186</v>
      </c>
      <c r="J104" s="15" t="s">
        <v>187</v>
      </c>
      <c r="K104" s="39" t="n">
        <f aca="false">K17/3600/(PI()*(K47/1000)^2/4)</f>
        <v>4456.33840657307</v>
      </c>
      <c r="L104" s="15"/>
      <c r="Q104" s="53"/>
    </row>
    <row r="105" customFormat="false" ht="13.8" hidden="false" customHeight="false" outlineLevel="0" collapsed="false">
      <c r="I105" s="15" t="s">
        <v>188</v>
      </c>
      <c r="J105" s="15" t="s">
        <v>189</v>
      </c>
      <c r="K105" s="39" t="n">
        <f aca="false">K25/3600/(PI()*(K48/1000)^2/4)</f>
        <v>4456.33840657307</v>
      </c>
      <c r="L105" s="15"/>
      <c r="Q105" s="53"/>
    </row>
    <row r="106" customFormat="false" ht="13.8" hidden="false" customHeight="false" outlineLevel="0" collapsed="false">
      <c r="I106" s="15" t="s">
        <v>190</v>
      </c>
      <c r="J106" s="15"/>
      <c r="K106" s="39" t="n">
        <f aca="false">1.4*1*K104^2/(2*K18)</f>
        <v>14112.9608078464</v>
      </c>
      <c r="L106" s="15" t="s">
        <v>183</v>
      </c>
      <c r="Q106" s="53"/>
    </row>
    <row r="107" customFormat="false" ht="13.8" hidden="false" customHeight="false" outlineLevel="0" collapsed="false">
      <c r="I107" s="15" t="s">
        <v>191</v>
      </c>
      <c r="J107" s="15"/>
      <c r="K107" s="39" t="n">
        <f aca="false">1.4*1*K105^2/(2*K26)</f>
        <v>13971.1220057575</v>
      </c>
      <c r="L107" s="15" t="s">
        <v>183</v>
      </c>
      <c r="Q107" s="53"/>
    </row>
    <row r="108" customFormat="false" ht="13.8" hidden="false" customHeight="false" outlineLevel="0" collapsed="false">
      <c r="I108" s="15" t="s">
        <v>192</v>
      </c>
      <c r="J108" s="15" t="s">
        <v>193</v>
      </c>
      <c r="K108" s="39" t="n">
        <f aca="false">K106+K102</f>
        <v>276045.243464528</v>
      </c>
      <c r="L108" s="15" t="s">
        <v>183</v>
      </c>
      <c r="M108" s="39" t="n">
        <f aca="false">K108/10^5</f>
        <v>2.76045243464528</v>
      </c>
      <c r="N108" s="15" t="s">
        <v>106</v>
      </c>
      <c r="O108" s="53"/>
      <c r="P108" s="53"/>
      <c r="Q108" s="53"/>
    </row>
    <row r="109" customFormat="false" ht="13.8" hidden="false" customHeight="false" outlineLevel="0" collapsed="false">
      <c r="I109" s="15" t="s">
        <v>194</v>
      </c>
      <c r="J109" s="15" t="s">
        <v>195</v>
      </c>
      <c r="K109" s="39" t="n">
        <f aca="false">K107+K103</f>
        <v>296049.268219435</v>
      </c>
      <c r="L109" s="15" t="s">
        <v>183</v>
      </c>
      <c r="M109" s="39" t="n">
        <f aca="false">K109/10^5</f>
        <v>2.96049268219435</v>
      </c>
      <c r="N109" s="15" t="s">
        <v>106</v>
      </c>
      <c r="O109" s="53"/>
      <c r="P109" s="53"/>
      <c r="Q109" s="53"/>
    </row>
    <row r="110" customFormat="false" ht="12.8" hidden="false" customHeight="false" outlineLevel="0" collapsed="false"/>
    <row r="112" customFormat="false" ht="12.75" hidden="false" customHeight="false" outlineLevel="0" collapsed="false">
      <c r="B112" s="69" t="s">
        <v>196</v>
      </c>
      <c r="C112" s="69"/>
      <c r="D112" s="69"/>
      <c r="E112" s="69"/>
      <c r="F112" s="69"/>
      <c r="G112" s="69"/>
      <c r="H112" s="69"/>
      <c r="I112" s="69"/>
      <c r="J112" s="69"/>
      <c r="K112" s="69"/>
      <c r="L112" s="69"/>
      <c r="M112" s="69"/>
      <c r="N112" s="69"/>
    </row>
    <row r="113" customFormat="false" ht="12.75" hidden="false" customHeight="false" outlineLevel="0" collapsed="false">
      <c r="B113" s="69"/>
      <c r="C113" s="69"/>
      <c r="D113" s="69"/>
      <c r="E113" s="69"/>
      <c r="F113" s="69"/>
      <c r="G113" s="69"/>
      <c r="H113" s="69"/>
      <c r="I113" s="69"/>
      <c r="J113" s="69"/>
      <c r="K113" s="69"/>
      <c r="L113" s="69"/>
      <c r="M113" s="69"/>
      <c r="N113" s="69"/>
    </row>
    <row r="114" customFormat="false" ht="12.75" hidden="false" customHeight="false" outlineLevel="0" collapsed="false">
      <c r="B114" s="70" t="s">
        <v>197</v>
      </c>
      <c r="C114" s="70"/>
      <c r="D114" s="70"/>
      <c r="E114" s="70"/>
      <c r="F114" s="70"/>
      <c r="G114" s="70"/>
      <c r="H114" s="69"/>
      <c r="I114" s="69"/>
      <c r="J114" s="69"/>
      <c r="K114" s="69"/>
      <c r="L114" s="69"/>
      <c r="M114" s="69"/>
      <c r="N114" s="69"/>
    </row>
    <row r="115" customFormat="false" ht="12.75" hidden="false" customHeight="false" outlineLevel="0" collapsed="false">
      <c r="B115" s="69"/>
      <c r="C115" s="69"/>
      <c r="D115" s="69"/>
      <c r="E115" s="69"/>
      <c r="F115" s="69"/>
      <c r="G115" s="69"/>
      <c r="H115" s="69"/>
      <c r="I115" s="69"/>
      <c r="J115" s="69"/>
      <c r="K115" s="69"/>
      <c r="L115" s="69"/>
      <c r="M115" s="69"/>
      <c r="N115" s="69"/>
    </row>
    <row r="116" customFormat="false" ht="45.75" hidden="false" customHeight="true" outlineLevel="0" collapsed="false">
      <c r="B116" s="71" t="s">
        <v>198</v>
      </c>
      <c r="C116" s="71"/>
      <c r="D116" s="71"/>
      <c r="E116" s="71"/>
      <c r="F116" s="71"/>
      <c r="G116" s="71"/>
      <c r="H116" s="71"/>
      <c r="I116" s="71"/>
      <c r="J116" s="71"/>
      <c r="K116" s="71"/>
      <c r="L116" s="71"/>
      <c r="M116" s="71"/>
      <c r="N116" s="71"/>
      <c r="O116" s="71"/>
    </row>
    <row r="118" s="2" customFormat="true" ht="12.75" hidden="false" customHeight="false" outlineLevel="0" collapsed="false">
      <c r="A118" s="2" t="s">
        <v>0</v>
      </c>
      <c r="ALV118" s="1"/>
      <c r="ALW118" s="1"/>
      <c r="ALX118" s="1"/>
      <c r="ALY118" s="1"/>
      <c r="ALZ118" s="1"/>
      <c r="AMA118" s="1"/>
      <c r="AMB118" s="1"/>
      <c r="AMC118" s="1"/>
      <c r="AMD118" s="1"/>
      <c r="AME118" s="1"/>
      <c r="AMF118" s="1"/>
      <c r="AMG118" s="1"/>
      <c r="AMH118" s="1"/>
      <c r="AMI118" s="1"/>
      <c r="AMJ118" s="1"/>
    </row>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sheetProtection sheet="true" password="c80a" objects="true" scenarios="true"/>
  <mergeCells count="20">
    <mergeCell ref="B3:O6"/>
    <mergeCell ref="B7:O10"/>
    <mergeCell ref="I13:L13"/>
    <mergeCell ref="Q13:V13"/>
    <mergeCell ref="I14:L14"/>
    <mergeCell ref="Q14:V17"/>
    <mergeCell ref="I15:L15"/>
    <mergeCell ref="I32:L32"/>
    <mergeCell ref="B51:L53"/>
    <mergeCell ref="I55:L55"/>
    <mergeCell ref="I59:L59"/>
    <mergeCell ref="I61:L61"/>
    <mergeCell ref="I66:L66"/>
    <mergeCell ref="I70:L70"/>
    <mergeCell ref="I75:L75"/>
    <mergeCell ref="I82:L82"/>
    <mergeCell ref="I87:L87"/>
    <mergeCell ref="I96:L96"/>
    <mergeCell ref="I97:L97"/>
    <mergeCell ref="B116:O116"/>
  </mergeCells>
  <hyperlinks>
    <hyperlink ref="B112" r:id="rId1" display="If you spot a mistake or wish to suggest an improvement, please contact : contact@myengineeringtools.com"/>
    <hyperlink ref="B114" r:id="rId2" display="Copyright www.MyEngineeringTools.com"/>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9:G18"/>
  <sheetViews>
    <sheetView showFormulas="false" showGridLines="true" showRowColHeaders="true" showZeros="true" rightToLeft="false" tabSelected="false" showOutlineSymbols="true" defaultGridColor="true" view="normal" topLeftCell="B1" colorId="64" zoomScale="65" zoomScaleNormal="65" zoomScalePageLayoutView="100" workbookViewId="0">
      <selection pane="topLeft" activeCell="B24" activeCellId="0" sqref="B24"/>
    </sheetView>
  </sheetViews>
  <sheetFormatPr defaultColWidth="11.55078125" defaultRowHeight="12.8" zeroHeight="false" outlineLevelRow="0" outlineLevelCol="0"/>
  <cols>
    <col collapsed="false" customWidth="true" hidden="false" outlineLevel="0" max="2" min="2" style="0" width="27.88"/>
  </cols>
  <sheetData>
    <row r="9" customFormat="false" ht="12.8" hidden="false" customHeight="false" outlineLevel="0" collapsed="false">
      <c r="B9" s="73" t="s">
        <v>199</v>
      </c>
      <c r="C9" s="73"/>
      <c r="D9" s="73"/>
    </row>
    <row r="10" customFormat="false" ht="13.8" hidden="false" customHeight="false" outlineLevel="0" collapsed="false">
      <c r="B10" s="74" t="s">
        <v>200</v>
      </c>
      <c r="C10" s="72" t="n">
        <v>200</v>
      </c>
      <c r="D10" s="74" t="s">
        <v>62</v>
      </c>
    </row>
    <row r="11" customFormat="false" ht="13.8" hidden="false" customHeight="false" outlineLevel="0" collapsed="false">
      <c r="B11" s="74" t="s">
        <v>201</v>
      </c>
      <c r="C11" s="72" t="n">
        <v>1550</v>
      </c>
      <c r="D11" s="74" t="s">
        <v>62</v>
      </c>
    </row>
    <row r="12" customFormat="false" ht="13.8" hidden="false" customHeight="false" outlineLevel="0" collapsed="false">
      <c r="B12" s="74" t="s">
        <v>202</v>
      </c>
      <c r="C12" s="72" t="n">
        <v>430</v>
      </c>
      <c r="D12" s="74" t="s">
        <v>62</v>
      </c>
    </row>
    <row r="13" customFormat="false" ht="13.8" hidden="false" customHeight="false" outlineLevel="0" collapsed="false">
      <c r="B13" s="74" t="s">
        <v>203</v>
      </c>
      <c r="C13" s="75" t="n">
        <f aca="false">C11-C10</f>
        <v>1350</v>
      </c>
      <c r="D13" s="74" t="s">
        <v>62</v>
      </c>
    </row>
    <row r="14" customFormat="false" ht="13.8" hidden="false" customHeight="false" outlineLevel="0" collapsed="false">
      <c r="B14" s="74" t="s">
        <v>204</v>
      </c>
      <c r="C14" s="75" t="n">
        <f aca="false">C12+C10</f>
        <v>630</v>
      </c>
      <c r="D14" s="74" t="s">
        <v>62</v>
      </c>
    </row>
    <row r="15" customFormat="false" ht="12.8" hidden="false" customHeight="true" outlineLevel="0" collapsed="false">
      <c r="B15" s="74" t="s">
        <v>205</v>
      </c>
      <c r="C15" s="75" t="n">
        <f aca="false">(C13/1000*C14/1000)</f>
        <v>0.8505</v>
      </c>
      <c r="D15" s="74" t="s">
        <v>71</v>
      </c>
      <c r="E15" s="76" t="s">
        <v>206</v>
      </c>
      <c r="F15" s="76"/>
      <c r="G15" s="76"/>
    </row>
    <row r="16" customFormat="false" ht="12.8" hidden="false" customHeight="false" outlineLevel="0" collapsed="false">
      <c r="E16" s="76"/>
      <c r="F16" s="76"/>
      <c r="G16" s="76"/>
    </row>
    <row r="17" customFormat="false" ht="13.8" hidden="false" customHeight="false" outlineLevel="0" collapsed="false">
      <c r="B17" s="74" t="s">
        <v>207</v>
      </c>
      <c r="C17" s="72" t="n">
        <v>1.06</v>
      </c>
      <c r="D17" s="74" t="s">
        <v>71</v>
      </c>
      <c r="E17" s="76"/>
      <c r="F17" s="76"/>
      <c r="G17" s="76"/>
    </row>
    <row r="18" customFormat="false" ht="13.8" hidden="false" customHeight="false" outlineLevel="0" collapsed="false">
      <c r="B18" s="74" t="s">
        <v>208</v>
      </c>
      <c r="C18" s="75" t="n">
        <f aca="false">C17/C15</f>
        <v>1.24632569077014</v>
      </c>
    </row>
  </sheetData>
  <sheetProtection sheet="true" password="c80a" objects="true" scenarios="true"/>
  <mergeCells count="2">
    <mergeCell ref="B9:D9"/>
    <mergeCell ref="E15:G17"/>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2:A11"/>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H5" activeCellId="0" sqref="H5"/>
    </sheetView>
  </sheetViews>
  <sheetFormatPr defaultColWidth="11.66796875" defaultRowHeight="12.75" zeroHeight="false" outlineLevelRow="0" outlineLevelCol="0"/>
  <cols>
    <col collapsed="false" customWidth="true" hidden="false" outlineLevel="0" max="2" min="2" style="74" width="14.15"/>
    <col collapsed="false" customWidth="true" hidden="false" outlineLevel="0" max="3" min="3" style="74" width="23.57"/>
    <col collapsed="false" customWidth="true" hidden="false" outlineLevel="0" max="5" min="5" style="74" width="23.57"/>
    <col collapsed="false" customWidth="true" hidden="false" outlineLevel="0" max="7" min="7" style="74" width="23.57"/>
  </cols>
  <sheetData>
    <row r="2" customFormat="false" ht="12.75" hidden="false" customHeight="false" outlineLevel="0" collapsed="false">
      <c r="A2" s="74" t="s">
        <v>209</v>
      </c>
    </row>
    <row r="3" customFormat="false" ht="12.75" hidden="false" customHeight="false" outlineLevel="0" collapsed="false">
      <c r="A3" s="74" t="s">
        <v>210</v>
      </c>
    </row>
    <row r="11" customFormat="false" ht="12.8" hidden="false" customHeight="false" outlineLevel="0" collapsed="false"/>
  </sheetData>
  <sheetProtection sheet="true" password="c80a" objects="true" scenarios="true"/>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8:E43"/>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B9" activeCellId="0" sqref="B9"/>
    </sheetView>
  </sheetViews>
  <sheetFormatPr defaultColWidth="11.53515625" defaultRowHeight="12.8" zeroHeight="false" outlineLevelRow="0" outlineLevelCol="0"/>
  <cols>
    <col collapsed="false" customWidth="true" hidden="false" outlineLevel="0" max="2" min="2" style="0" width="21.52"/>
  </cols>
  <sheetData>
    <row r="8" customFormat="false" ht="12.8" hidden="false" customHeight="false" outlineLevel="0" collapsed="false">
      <c r="B8" s="0" t="s">
        <v>211</v>
      </c>
    </row>
    <row r="10" customFormat="false" ht="24.05" hidden="false" customHeight="false" outlineLevel="0" collapsed="false">
      <c r="B10" s="77" t="s">
        <v>212</v>
      </c>
      <c r="C10" s="77" t="s">
        <v>213</v>
      </c>
      <c r="D10" s="77" t="s">
        <v>153</v>
      </c>
      <c r="E10" s="77" t="s">
        <v>84</v>
      </c>
    </row>
    <row r="11" customFormat="false" ht="12.8" hidden="false" customHeight="false" outlineLevel="0" collapsed="false">
      <c r="B11" s="78" t="s">
        <v>214</v>
      </c>
      <c r="C11" s="78" t="s">
        <v>215</v>
      </c>
      <c r="D11" s="78" t="n">
        <v>0.718</v>
      </c>
      <c r="E11" s="78" t="n">
        <v>0.349</v>
      </c>
    </row>
    <row r="12" customFormat="false" ht="12.8" hidden="false" customHeight="false" outlineLevel="0" collapsed="false">
      <c r="B12" s="78" t="s">
        <v>214</v>
      </c>
      <c r="C12" s="78" t="s">
        <v>216</v>
      </c>
      <c r="D12" s="78" t="n">
        <v>0.348</v>
      </c>
      <c r="E12" s="78" t="n">
        <v>0.663</v>
      </c>
    </row>
    <row r="13" customFormat="false" ht="12.8" hidden="false" customHeight="false" outlineLevel="0" collapsed="false">
      <c r="B13" s="78" t="n">
        <v>45</v>
      </c>
      <c r="C13" s="78" t="s">
        <v>215</v>
      </c>
      <c r="D13" s="78" t="n">
        <v>0.718</v>
      </c>
      <c r="E13" s="78" t="n">
        <v>0.349</v>
      </c>
    </row>
    <row r="14" customFormat="false" ht="12.8" hidden="false" customHeight="false" outlineLevel="0" collapsed="false">
      <c r="B14" s="78" t="n">
        <v>45</v>
      </c>
      <c r="C14" s="78" t="s">
        <v>217</v>
      </c>
      <c r="D14" s="78" t="n">
        <v>0.4</v>
      </c>
      <c r="E14" s="78" t="n">
        <v>0.598</v>
      </c>
    </row>
    <row r="15" customFormat="false" ht="12.8" hidden="false" customHeight="false" outlineLevel="0" collapsed="false">
      <c r="B15" s="78" t="n">
        <v>45</v>
      </c>
      <c r="C15" s="78" t="s">
        <v>218</v>
      </c>
      <c r="D15" s="78" t="n">
        <v>0.3</v>
      </c>
      <c r="E15" s="78" t="n">
        <v>0.663</v>
      </c>
    </row>
    <row r="16" customFormat="false" ht="12.8" hidden="false" customHeight="false" outlineLevel="0" collapsed="false">
      <c r="B16" s="78" t="n">
        <v>50</v>
      </c>
      <c r="C16" s="78" t="s">
        <v>219</v>
      </c>
      <c r="D16" s="78" t="n">
        <v>0.63</v>
      </c>
      <c r="E16" s="78" t="n">
        <v>0.333</v>
      </c>
    </row>
    <row r="17" customFormat="false" ht="12.8" hidden="false" customHeight="false" outlineLevel="0" collapsed="false">
      <c r="B17" s="78" t="n">
        <v>50</v>
      </c>
      <c r="C17" s="78" t="s">
        <v>220</v>
      </c>
      <c r="D17" s="78" t="n">
        <v>0.291</v>
      </c>
      <c r="E17" s="78" t="n">
        <v>0.591</v>
      </c>
    </row>
    <row r="18" customFormat="false" ht="12.8" hidden="false" customHeight="false" outlineLevel="0" collapsed="false">
      <c r="B18" s="78" t="n">
        <v>50</v>
      </c>
      <c r="C18" s="78" t="s">
        <v>221</v>
      </c>
      <c r="D18" s="78" t="n">
        <v>0.13</v>
      </c>
      <c r="E18" s="78" t="n">
        <v>0.732</v>
      </c>
    </row>
    <row r="19" customFormat="false" ht="12.8" hidden="false" customHeight="false" outlineLevel="0" collapsed="false">
      <c r="B19" s="78" t="n">
        <v>60</v>
      </c>
      <c r="C19" s="78" t="s">
        <v>219</v>
      </c>
      <c r="D19" s="78" t="n">
        <v>0.562</v>
      </c>
      <c r="E19" s="78" t="n">
        <v>0.326</v>
      </c>
    </row>
    <row r="20" customFormat="false" ht="12.8" hidden="false" customHeight="false" outlineLevel="0" collapsed="false">
      <c r="B20" s="78" t="n">
        <v>60</v>
      </c>
      <c r="C20" s="78" t="s">
        <v>222</v>
      </c>
      <c r="D20" s="78" t="n">
        <v>0.306</v>
      </c>
      <c r="E20" s="78" t="n">
        <v>0.529</v>
      </c>
    </row>
    <row r="21" customFormat="false" ht="12.8" hidden="false" customHeight="false" outlineLevel="0" collapsed="false">
      <c r="B21" s="78" t="n">
        <v>60</v>
      </c>
      <c r="C21" s="78" t="s">
        <v>223</v>
      </c>
      <c r="D21" s="78" t="n">
        <v>0.108</v>
      </c>
      <c r="E21" s="78" t="n">
        <v>0.703</v>
      </c>
    </row>
    <row r="22" customFormat="false" ht="12.8" hidden="false" customHeight="false" outlineLevel="0" collapsed="false">
      <c r="B22" s="78" t="s">
        <v>224</v>
      </c>
      <c r="C22" s="78" t="s">
        <v>219</v>
      </c>
      <c r="D22" s="78" t="n">
        <v>0.562</v>
      </c>
      <c r="E22" s="78" t="n">
        <v>0.326</v>
      </c>
    </row>
    <row r="23" customFormat="false" ht="12.8" hidden="false" customHeight="false" outlineLevel="0" collapsed="false">
      <c r="B23" s="78" t="s">
        <v>224</v>
      </c>
      <c r="C23" s="78" t="s">
        <v>225</v>
      </c>
      <c r="D23" s="78" t="n">
        <v>0.331</v>
      </c>
      <c r="E23" s="78" t="n">
        <v>0.503</v>
      </c>
    </row>
    <row r="24" customFormat="false" ht="12.8" hidden="false" customHeight="false" outlineLevel="0" collapsed="false">
      <c r="B24" s="78" t="s">
        <v>224</v>
      </c>
      <c r="C24" s="78" t="s">
        <v>226</v>
      </c>
      <c r="D24" s="78" t="n">
        <v>0.087</v>
      </c>
      <c r="E24" s="78" t="n">
        <v>0.718</v>
      </c>
    </row>
    <row r="28" customFormat="false" ht="12.8" hidden="false" customHeight="false" outlineLevel="0" collapsed="false">
      <c r="B28" s="77" t="s">
        <v>212</v>
      </c>
      <c r="C28" s="77" t="s">
        <v>213</v>
      </c>
      <c r="D28" s="77" t="s">
        <v>175</v>
      </c>
      <c r="E28" s="77" t="s">
        <v>80</v>
      </c>
    </row>
    <row r="29" customFormat="false" ht="12.8" hidden="false" customHeight="false" outlineLevel="0" collapsed="false">
      <c r="B29" s="78" t="s">
        <v>214</v>
      </c>
      <c r="C29" s="78" t="s">
        <v>215</v>
      </c>
      <c r="D29" s="78" t="n">
        <v>50</v>
      </c>
      <c r="E29" s="78" t="n">
        <v>1</v>
      </c>
    </row>
    <row r="30" customFormat="false" ht="12.8" hidden="false" customHeight="false" outlineLevel="0" collapsed="false">
      <c r="B30" s="78" t="s">
        <v>214</v>
      </c>
      <c r="C30" s="78" t="s">
        <v>217</v>
      </c>
      <c r="D30" s="78" t="n">
        <v>19.4</v>
      </c>
      <c r="E30" s="78" t="n">
        <v>0.589</v>
      </c>
    </row>
    <row r="31" customFormat="false" ht="12.8" hidden="false" customHeight="false" outlineLevel="0" collapsed="false">
      <c r="B31" s="78" t="s">
        <v>214</v>
      </c>
      <c r="C31" s="78" t="s">
        <v>218</v>
      </c>
      <c r="D31" s="78" t="n">
        <v>2.99</v>
      </c>
      <c r="E31" s="78" t="n">
        <v>0.183</v>
      </c>
    </row>
    <row r="32" customFormat="false" ht="12.8" hidden="false" customHeight="false" outlineLevel="0" collapsed="false">
      <c r="B32" s="78" t="n">
        <v>45</v>
      </c>
      <c r="C32" s="78" t="s">
        <v>227</v>
      </c>
      <c r="D32" s="78" t="n">
        <v>47</v>
      </c>
      <c r="E32" s="78" t="n">
        <v>1</v>
      </c>
    </row>
    <row r="33" customFormat="false" ht="12.8" hidden="false" customHeight="false" outlineLevel="0" collapsed="false">
      <c r="B33" s="78" t="n">
        <v>45</v>
      </c>
      <c r="C33" s="78" t="s">
        <v>228</v>
      </c>
      <c r="D33" s="78" t="n">
        <v>18.29</v>
      </c>
      <c r="E33" s="78" t="n">
        <v>0.652</v>
      </c>
    </row>
    <row r="34" customFormat="false" ht="12.8" hidden="false" customHeight="false" outlineLevel="0" collapsed="false">
      <c r="B34" s="78" t="n">
        <v>45</v>
      </c>
      <c r="C34" s="78" t="s">
        <v>221</v>
      </c>
      <c r="D34" s="78" t="n">
        <v>1.441</v>
      </c>
      <c r="E34" s="78" t="n">
        <v>0.206</v>
      </c>
    </row>
    <row r="35" customFormat="false" ht="12.8" hidden="false" customHeight="false" outlineLevel="0" collapsed="false">
      <c r="B35" s="78" t="n">
        <v>50</v>
      </c>
      <c r="C35" s="78" t="s">
        <v>219</v>
      </c>
      <c r="D35" s="78" t="n">
        <v>34</v>
      </c>
      <c r="E35" s="78" t="n">
        <v>1</v>
      </c>
    </row>
    <row r="36" customFormat="false" ht="12.8" hidden="false" customHeight="false" outlineLevel="0" collapsed="false">
      <c r="B36" s="78" t="n">
        <v>50</v>
      </c>
      <c r="C36" s="78" t="s">
        <v>220</v>
      </c>
      <c r="D36" s="78" t="n">
        <v>11.25</v>
      </c>
      <c r="E36" s="78" t="n">
        <v>0.631</v>
      </c>
    </row>
    <row r="37" customFormat="false" ht="12.8" hidden="false" customHeight="false" outlineLevel="0" collapsed="false">
      <c r="B37" s="78" t="n">
        <v>50</v>
      </c>
      <c r="C37" s="78" t="s">
        <v>221</v>
      </c>
      <c r="D37" s="78" t="n">
        <v>0.772</v>
      </c>
      <c r="E37" s="78" t="n">
        <v>0.161</v>
      </c>
    </row>
    <row r="38" customFormat="false" ht="12.8" hidden="false" customHeight="false" outlineLevel="0" collapsed="false">
      <c r="B38" s="78" t="n">
        <v>60</v>
      </c>
      <c r="C38" s="78" t="s">
        <v>229</v>
      </c>
      <c r="D38" s="78" t="n">
        <v>24</v>
      </c>
      <c r="E38" s="78" t="n">
        <v>1</v>
      </c>
    </row>
    <row r="39" customFormat="false" ht="12.8" hidden="false" customHeight="false" outlineLevel="0" collapsed="false">
      <c r="B39" s="78" t="n">
        <v>60</v>
      </c>
      <c r="C39" s="78" t="s">
        <v>230</v>
      </c>
      <c r="D39" s="78" t="n">
        <v>3.24</v>
      </c>
      <c r="E39" s="78" t="n">
        <v>0.457</v>
      </c>
    </row>
    <row r="40" customFormat="false" ht="12.8" hidden="false" customHeight="false" outlineLevel="0" collapsed="false">
      <c r="B40" s="78" t="n">
        <v>60</v>
      </c>
      <c r="C40" s="78" t="s">
        <v>223</v>
      </c>
      <c r="D40" s="78" t="n">
        <v>0.76</v>
      </c>
      <c r="E40" s="78" t="n">
        <v>0.215</v>
      </c>
    </row>
    <row r="41" customFormat="false" ht="12.8" hidden="false" customHeight="false" outlineLevel="0" collapsed="false">
      <c r="B41" s="78" t="s">
        <v>224</v>
      </c>
      <c r="C41" s="78" t="n">
        <v>50</v>
      </c>
      <c r="D41" s="78" t="n">
        <v>24</v>
      </c>
      <c r="E41" s="78" t="n">
        <v>1</v>
      </c>
    </row>
    <row r="42" customFormat="false" ht="12.8" hidden="false" customHeight="false" outlineLevel="0" collapsed="false">
      <c r="B42" s="78" t="s">
        <v>224</v>
      </c>
      <c r="C42" s="78" t="s">
        <v>231</v>
      </c>
      <c r="D42" s="78" t="n">
        <v>2.8</v>
      </c>
      <c r="E42" s="78" t="n">
        <v>0.451</v>
      </c>
    </row>
    <row r="43" customFormat="false" ht="12.8" hidden="false" customHeight="false" outlineLevel="0" collapsed="false">
      <c r="B43" s="78" t="s">
        <v>224</v>
      </c>
      <c r="C43" s="78" t="s">
        <v>226</v>
      </c>
      <c r="D43" s="78" t="n">
        <v>0.639</v>
      </c>
      <c r="E43" s="78" t="n">
        <v>0.213</v>
      </c>
    </row>
  </sheetData>
  <sheetProtection sheet="true" password="c80a" objects="true" scenarios="true"/>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751</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2021-07-25T17:01:29Z</dcterms:created>
  <dc:creator/>
  <dc:description/>
  <dc:language>en-SG</dc:language>
  <cp:lastModifiedBy/>
  <dcterms:modified xsi:type="dcterms:W3CDTF">2023-03-18T20:38:07Z</dcterms:modified>
  <cp:revision>56</cp:revision>
  <dc:subject/>
  <dc:title/>
</cp:coreProperties>
</file>

<file path=docProps/custom.xml><?xml version="1.0" encoding="utf-8"?>
<Properties xmlns="http://schemas.openxmlformats.org/officeDocument/2006/custom-properties" xmlns:vt="http://schemas.openxmlformats.org/officeDocument/2006/docPropsVTypes"/>
</file>